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 firstSheet="2" activeTab="3"/>
  </bookViews>
  <sheets>
    <sheet name="1.1план фхд (3)" sheetId="7" state="hidden" r:id="rId1"/>
    <sheet name="1.2план развития (3)" sheetId="8" state="hidden" r:id="rId2"/>
    <sheet name="1.1план фхд (4)" sheetId="9" r:id="rId3"/>
    <sheet name="1.2план развития (4)" sheetId="10" r:id="rId4"/>
    <sheet name="1.1план фхд (2)" sheetId="5" state="hidden" r:id="rId5"/>
    <sheet name="1.2план развития (2)" sheetId="6" state="hidden" r:id="rId6"/>
    <sheet name="2.отчет о выполнении" sheetId="3" state="hidden" r:id="rId7"/>
    <sheet name="3.справка о состоянии с " sheetId="4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Print_Titles" localSheetId="4">'1.1план фхд (2)'!$11:$14</definedName>
    <definedName name="_xlnm.Print_Titles" localSheetId="0">'1.1план фхд (3)'!$11:$14</definedName>
    <definedName name="_xlnm.Print_Titles" localSheetId="2">'1.1план фхд (4)'!$11:$14</definedName>
  </definedNames>
  <calcPr calcId="145621"/>
</workbook>
</file>

<file path=xl/calcChain.xml><?xml version="1.0" encoding="utf-8"?>
<calcChain xmlns="http://schemas.openxmlformats.org/spreadsheetml/2006/main">
  <c r="D43" i="7" l="1"/>
  <c r="D53" i="7"/>
  <c r="C53" i="7"/>
  <c r="D33" i="7"/>
  <c r="I52" i="7" l="1"/>
  <c r="D50" i="7" l="1"/>
  <c r="I45" i="7"/>
  <c r="H45" i="7"/>
  <c r="G45" i="7"/>
  <c r="F45" i="7"/>
  <c r="E45" i="7"/>
  <c r="I46" i="7" l="1"/>
  <c r="H46" i="7"/>
  <c r="G46" i="7"/>
  <c r="F46" i="7"/>
  <c r="D45" i="7"/>
  <c r="D51" i="7" s="1"/>
  <c r="C45" i="7"/>
  <c r="I50" i="7"/>
  <c r="H50" i="7"/>
  <c r="G50" i="7"/>
  <c r="F50" i="7"/>
  <c r="I47" i="7"/>
  <c r="H47" i="7"/>
  <c r="G47" i="7"/>
  <c r="F47" i="7"/>
  <c r="E50" i="7"/>
  <c r="E51" i="7" s="1"/>
  <c r="C50" i="7" l="1"/>
  <c r="C51" i="7" s="1"/>
  <c r="C48" i="7"/>
  <c r="E52" i="7"/>
  <c r="D52" i="7"/>
  <c r="D40" i="7"/>
  <c r="D34" i="7" s="1"/>
  <c r="D35" i="7"/>
  <c r="D38" i="7"/>
  <c r="D37" i="7"/>
  <c r="D36" i="7"/>
  <c r="C36" i="7"/>
  <c r="D49" i="7"/>
  <c r="C49" i="7"/>
  <c r="F49" i="7"/>
  <c r="D39" i="7" l="1"/>
  <c r="D48" i="7" l="1"/>
  <c r="C56" i="7" l="1"/>
  <c r="C38" i="7" l="1"/>
  <c r="C37" i="7"/>
  <c r="C35" i="7"/>
  <c r="C40" i="7"/>
  <c r="C30" i="7"/>
  <c r="C32" i="7"/>
  <c r="C29" i="7"/>
  <c r="C28" i="7"/>
  <c r="C27" i="7"/>
  <c r="C26" i="7"/>
  <c r="C25" i="7"/>
  <c r="C24" i="7" s="1"/>
  <c r="C19" i="7"/>
  <c r="D32" i="7"/>
  <c r="D21" i="7"/>
  <c r="C23" i="7" l="1"/>
  <c r="D17" i="7" l="1"/>
  <c r="D16" i="7"/>
  <c r="D18" i="7" l="1"/>
  <c r="D20" i="7"/>
  <c r="D19" i="7" l="1"/>
  <c r="E19" i="7" l="1"/>
  <c r="I19" i="7"/>
  <c r="H19" i="7"/>
  <c r="G19" i="7"/>
  <c r="F19" i="7"/>
  <c r="I40" i="7" l="1"/>
  <c r="H40" i="7"/>
  <c r="G40" i="7"/>
  <c r="F40" i="7"/>
  <c r="E40" i="7"/>
  <c r="I34" i="7"/>
  <c r="H34" i="7"/>
  <c r="G34" i="7"/>
  <c r="F34" i="7"/>
  <c r="E34" i="7"/>
  <c r="I32" i="7"/>
  <c r="H32" i="7"/>
  <c r="G32" i="7"/>
  <c r="F32" i="7"/>
  <c r="E32" i="7"/>
  <c r="E54" i="7"/>
  <c r="I48" i="7"/>
  <c r="I51" i="7" s="1"/>
  <c r="H48" i="7"/>
  <c r="H51" i="7" s="1"/>
  <c r="G48" i="7"/>
  <c r="G51" i="7" s="1"/>
  <c r="F48" i="7"/>
  <c r="F51" i="7" s="1"/>
  <c r="E48" i="7"/>
  <c r="I49" i="7"/>
  <c r="H49" i="7"/>
  <c r="G49" i="7"/>
  <c r="E49" i="7"/>
  <c r="I29" i="7"/>
  <c r="H29" i="7"/>
  <c r="G29" i="7"/>
  <c r="F29" i="7"/>
  <c r="E29" i="7"/>
  <c r="I28" i="7"/>
  <c r="H28" i="7"/>
  <c r="G28" i="7"/>
  <c r="F28" i="7"/>
  <c r="E28" i="7"/>
  <c r="I27" i="7"/>
  <c r="H27" i="7"/>
  <c r="G27" i="7"/>
  <c r="F27" i="7"/>
  <c r="E27" i="7"/>
  <c r="I26" i="7"/>
  <c r="H26" i="7"/>
  <c r="G26" i="7"/>
  <c r="F26" i="7"/>
  <c r="E26" i="7"/>
  <c r="E21" i="7"/>
  <c r="I20" i="7"/>
  <c r="H20" i="7"/>
  <c r="G20" i="7"/>
  <c r="F20" i="7"/>
  <c r="E20" i="7"/>
  <c r="E18" i="7"/>
  <c r="F18" i="7" s="1"/>
  <c r="G18" i="7" s="1"/>
  <c r="H18" i="7" s="1"/>
  <c r="I18" i="7" s="1"/>
  <c r="E17" i="7"/>
  <c r="I16" i="7"/>
  <c r="H16" i="7"/>
  <c r="G16" i="7"/>
  <c r="F16" i="7"/>
  <c r="E16" i="7"/>
  <c r="H21" i="7" l="1"/>
  <c r="I21" i="7" s="1"/>
  <c r="F21" i="7"/>
  <c r="G21" i="7" s="1"/>
  <c r="F17" i="7"/>
  <c r="G17" i="7" s="1"/>
  <c r="H17" i="7" s="1"/>
  <c r="I17" i="7" s="1"/>
  <c r="D12" i="6" l="1"/>
  <c r="B12" i="6"/>
  <c r="D7" i="6"/>
  <c r="B7" i="6"/>
  <c r="B6" i="6" s="1"/>
  <c r="D6" i="6"/>
  <c r="F54" i="5"/>
  <c r="G53" i="5"/>
  <c r="H53" i="5" s="1"/>
  <c r="I53" i="5" s="1"/>
  <c r="J53" i="5" s="1"/>
  <c r="J40" i="5"/>
  <c r="I40" i="5"/>
  <c r="H40" i="5"/>
  <c r="G40" i="5"/>
  <c r="F40" i="5"/>
  <c r="E40" i="5"/>
  <c r="C40" i="5"/>
  <c r="D39" i="5"/>
  <c r="J38" i="5"/>
  <c r="I38" i="5"/>
  <c r="H38" i="5"/>
  <c r="G38" i="5"/>
  <c r="F38" i="5"/>
  <c r="E38" i="5"/>
  <c r="C38" i="5"/>
  <c r="J37" i="5"/>
  <c r="I37" i="5"/>
  <c r="H37" i="5"/>
  <c r="G37" i="5"/>
  <c r="F37" i="5"/>
  <c r="E37" i="5"/>
  <c r="C37" i="5"/>
  <c r="J36" i="5"/>
  <c r="I36" i="5"/>
  <c r="H36" i="5"/>
  <c r="G36" i="5"/>
  <c r="F36" i="5"/>
  <c r="E36" i="5"/>
  <c r="C36" i="5"/>
  <c r="J35" i="5"/>
  <c r="I35" i="5"/>
  <c r="H35" i="5"/>
  <c r="G35" i="5"/>
  <c r="F35" i="5"/>
  <c r="E35" i="5"/>
  <c r="C35" i="5"/>
  <c r="J34" i="5"/>
  <c r="I34" i="5"/>
  <c r="I39" i="5" s="1"/>
  <c r="H34" i="5"/>
  <c r="G34" i="5"/>
  <c r="G39" i="5" s="1"/>
  <c r="F34" i="5"/>
  <c r="E34" i="5"/>
  <c r="E39" i="5" s="1"/>
  <c r="C34" i="5"/>
  <c r="J33" i="5"/>
  <c r="H33" i="5"/>
  <c r="F33" i="5"/>
  <c r="D33" i="5"/>
  <c r="C33" i="5"/>
  <c r="J32" i="5"/>
  <c r="I32" i="5"/>
  <c r="H32" i="5"/>
  <c r="G32" i="5"/>
  <c r="F32" i="5"/>
  <c r="E32" i="5"/>
  <c r="C32" i="5"/>
  <c r="J31" i="5"/>
  <c r="I31" i="5"/>
  <c r="H31" i="5"/>
  <c r="G31" i="5"/>
  <c r="F31" i="5"/>
  <c r="E31" i="5"/>
  <c r="C31" i="5"/>
  <c r="J30" i="5"/>
  <c r="I30" i="5"/>
  <c r="H30" i="5"/>
  <c r="G30" i="5"/>
  <c r="F30" i="5"/>
  <c r="E30" i="5"/>
  <c r="C30" i="5"/>
  <c r="J29" i="5"/>
  <c r="I29" i="5"/>
  <c r="H29" i="5"/>
  <c r="G29" i="5"/>
  <c r="F29" i="5"/>
  <c r="E29" i="5"/>
  <c r="C29" i="5"/>
  <c r="J28" i="5"/>
  <c r="I28" i="5"/>
  <c r="H28" i="5"/>
  <c r="G28" i="5"/>
  <c r="F28" i="5"/>
  <c r="E28" i="5"/>
  <c r="C28" i="5"/>
  <c r="J27" i="5"/>
  <c r="I27" i="5"/>
  <c r="H27" i="5"/>
  <c r="G27" i="5"/>
  <c r="F27" i="5"/>
  <c r="E27" i="5"/>
  <c r="C27" i="5"/>
  <c r="J26" i="5"/>
  <c r="I26" i="5"/>
  <c r="H26" i="5"/>
  <c r="G26" i="5"/>
  <c r="F26" i="5"/>
  <c r="E26" i="5"/>
  <c r="C26" i="5"/>
  <c r="C24" i="5" s="1"/>
  <c r="J25" i="5"/>
  <c r="I25" i="5"/>
  <c r="I24" i="5" s="1"/>
  <c r="H25" i="5"/>
  <c r="G25" i="5"/>
  <c r="G24" i="5" s="1"/>
  <c r="F25" i="5"/>
  <c r="E25" i="5"/>
  <c r="E24" i="5" s="1"/>
  <c r="C25" i="5"/>
  <c r="J24" i="5"/>
  <c r="J41" i="5" s="1"/>
  <c r="H24" i="5"/>
  <c r="H41" i="5" s="1"/>
  <c r="F24" i="5"/>
  <c r="F41" i="5" s="1"/>
  <c r="D24" i="5"/>
  <c r="D41" i="5" s="1"/>
  <c r="J23" i="5"/>
  <c r="J42" i="5" s="1"/>
  <c r="H23" i="5"/>
  <c r="H42" i="5" s="1"/>
  <c r="F23" i="5"/>
  <c r="F42" i="5" s="1"/>
  <c r="D23" i="5"/>
  <c r="D42" i="5" s="1"/>
  <c r="F21" i="5"/>
  <c r="I21" i="5" s="1"/>
  <c r="E21" i="5"/>
  <c r="D21" i="5"/>
  <c r="C21" i="5"/>
  <c r="J20" i="5"/>
  <c r="I20" i="5"/>
  <c r="H20" i="5"/>
  <c r="G20" i="5"/>
  <c r="F20" i="5"/>
  <c r="E20" i="5"/>
  <c r="D20" i="5"/>
  <c r="C20" i="5"/>
  <c r="J19" i="5"/>
  <c r="I19" i="5"/>
  <c r="H19" i="5"/>
  <c r="G19" i="5"/>
  <c r="F19" i="5"/>
  <c r="E19" i="5"/>
  <c r="D19" i="5"/>
  <c r="C19" i="5"/>
  <c r="J18" i="5"/>
  <c r="I18" i="5"/>
  <c r="H18" i="5"/>
  <c r="G18" i="5"/>
  <c r="F18" i="5"/>
  <c r="E18" i="5"/>
  <c r="D18" i="5"/>
  <c r="C18" i="5"/>
  <c r="J17" i="5"/>
  <c r="I17" i="5"/>
  <c r="H17" i="5"/>
  <c r="G17" i="5"/>
  <c r="F17" i="5"/>
  <c r="E17" i="5"/>
  <c r="D17" i="5"/>
  <c r="C17" i="5"/>
  <c r="J16" i="5"/>
  <c r="I16" i="5"/>
  <c r="H16" i="5"/>
  <c r="G16" i="5"/>
  <c r="F16" i="5"/>
  <c r="E16" i="5"/>
  <c r="D16" i="5"/>
  <c r="C16" i="5"/>
  <c r="E41" i="5" l="1"/>
  <c r="E23" i="5"/>
  <c r="G41" i="5"/>
  <c r="G55" i="5" s="1"/>
  <c r="G23" i="5"/>
  <c r="I41" i="5"/>
  <c r="I23" i="5"/>
  <c r="C41" i="5"/>
  <c r="C55" i="5" s="1"/>
  <c r="C23" i="5"/>
  <c r="C42" i="5" s="1"/>
  <c r="D55" i="5"/>
  <c r="F55" i="5"/>
  <c r="H55" i="5"/>
  <c r="J55" i="5"/>
  <c r="E33" i="5"/>
  <c r="G33" i="5"/>
  <c r="I33" i="5"/>
  <c r="C39" i="5"/>
  <c r="F39" i="5"/>
  <c r="H39" i="5"/>
  <c r="J39" i="5"/>
  <c r="J44" i="5"/>
  <c r="H44" i="5"/>
  <c r="H21" i="5"/>
  <c r="J21" i="5"/>
  <c r="G21" i="5"/>
  <c r="I55" i="5" l="1"/>
  <c r="E55" i="5"/>
  <c r="I42" i="5"/>
  <c r="I44" i="5" s="1"/>
  <c r="G42" i="5"/>
  <c r="G44" i="5" s="1"/>
  <c r="E42" i="5"/>
  <c r="E26" i="3"/>
  <c r="D26" i="3"/>
  <c r="C26" i="3"/>
  <c r="E25" i="3"/>
  <c r="D25" i="3"/>
  <c r="C25" i="3"/>
  <c r="E24" i="3"/>
  <c r="D24" i="3"/>
  <c r="C24" i="3"/>
  <c r="E23" i="3" l="1"/>
  <c r="D23" i="3"/>
  <c r="C23" i="3"/>
  <c r="F21" i="3"/>
  <c r="G21" i="3"/>
  <c r="H21" i="3"/>
  <c r="I21" i="3"/>
  <c r="F22" i="3"/>
  <c r="G22" i="3"/>
  <c r="H22" i="3"/>
  <c r="I22" i="3"/>
  <c r="F24" i="3"/>
  <c r="G24" i="3"/>
  <c r="H24" i="3"/>
  <c r="I24" i="3"/>
  <c r="F25" i="3"/>
  <c r="G25" i="3"/>
  <c r="H25" i="3"/>
  <c r="I25" i="3"/>
  <c r="F26" i="3"/>
  <c r="G26" i="3"/>
  <c r="H26" i="3"/>
  <c r="I26" i="3"/>
  <c r="D17" i="3"/>
  <c r="C17" i="3"/>
  <c r="D16" i="3"/>
  <c r="C16" i="3"/>
  <c r="D15" i="3"/>
  <c r="C15" i="3"/>
  <c r="C14" i="3"/>
  <c r="E7" i="6" l="1"/>
  <c r="E6" i="6" s="1"/>
  <c r="E13" i="6"/>
  <c r="E12" i="6" s="1"/>
  <c r="I23" i="3"/>
  <c r="G23" i="3"/>
  <c r="F23" i="3"/>
  <c r="H23" i="3"/>
  <c r="C18" i="3" l="1"/>
  <c r="C19" i="3"/>
  <c r="C13" i="3"/>
  <c r="C20" i="3" l="1"/>
  <c r="C12" i="3"/>
  <c r="D12" i="3"/>
  <c r="E15" i="3" l="1"/>
  <c r="E17" i="3"/>
  <c r="E16" i="3"/>
  <c r="G16" i="3" l="1"/>
  <c r="I16" i="3"/>
  <c r="H16" i="3"/>
  <c r="F16" i="3"/>
  <c r="H17" i="3"/>
  <c r="F17" i="3"/>
  <c r="G17" i="3"/>
  <c r="I17" i="3"/>
  <c r="E14" i="3"/>
  <c r="F15" i="3"/>
  <c r="G15" i="3"/>
  <c r="I15" i="3"/>
  <c r="H15" i="3"/>
  <c r="H14" i="3" l="1"/>
  <c r="I14" i="3"/>
  <c r="E13" i="3" l="1"/>
  <c r="E18" i="3"/>
  <c r="H13" i="3" l="1"/>
  <c r="I13" i="3"/>
  <c r="I18" i="3"/>
  <c r="H18" i="3"/>
  <c r="E12" i="3" l="1"/>
  <c r="E20" i="3"/>
  <c r="E19" i="3"/>
  <c r="H20" i="3" l="1"/>
  <c r="I20" i="3"/>
  <c r="H19" i="3"/>
  <c r="I19" i="3"/>
  <c r="I12" i="3"/>
  <c r="H12" i="3"/>
  <c r="F12" i="3"/>
  <c r="G12" i="3"/>
  <c r="D19" i="3" l="1"/>
  <c r="D13" i="3"/>
  <c r="G13" i="3" l="1"/>
  <c r="F13" i="3"/>
  <c r="D20" i="3"/>
  <c r="F19" i="3"/>
  <c r="G19" i="3"/>
  <c r="F20" i="3" l="1"/>
  <c r="G20" i="3"/>
  <c r="D14" i="3" l="1"/>
  <c r="F14" i="3" s="1"/>
  <c r="D18" i="3"/>
  <c r="G14" i="3"/>
  <c r="F18" i="3" l="1"/>
  <c r="G18" i="3"/>
  <c r="E25" i="7" l="1"/>
  <c r="I30" i="7"/>
  <c r="F30" i="7"/>
  <c r="G30" i="7"/>
  <c r="F25" i="7"/>
  <c r="F24" i="7" s="1"/>
  <c r="I25" i="7"/>
  <c r="I24" i="7" s="1"/>
  <c r="H25" i="7"/>
  <c r="E30" i="7"/>
  <c r="G25" i="7"/>
  <c r="G24" i="7" s="1"/>
  <c r="H30" i="7"/>
  <c r="G23" i="7" l="1"/>
  <c r="G41" i="7"/>
  <c r="H24" i="7"/>
  <c r="I41" i="7"/>
  <c r="I23" i="7"/>
  <c r="F41" i="7"/>
  <c r="F23" i="7"/>
  <c r="E24" i="7"/>
  <c r="H41" i="7" l="1"/>
  <c r="H23" i="7"/>
  <c r="E23" i="7"/>
  <c r="E41" i="7"/>
  <c r="C33" i="7" l="1"/>
  <c r="C34" i="7" l="1"/>
  <c r="C39" i="7" s="1"/>
  <c r="C41" i="7"/>
  <c r="C55" i="7" s="1"/>
  <c r="D25" i="7" l="1"/>
  <c r="D27" i="7" l="1"/>
  <c r="D29" i="7"/>
  <c r="D28" i="7"/>
  <c r="D26" i="7"/>
  <c r="D30" i="7" l="1"/>
  <c r="D24" i="7" s="1"/>
  <c r="D23" i="7" s="1"/>
  <c r="D41" i="7" s="1"/>
  <c r="D55" i="7" s="1"/>
  <c r="I37" i="7" l="1"/>
  <c r="I35" i="7" l="1"/>
  <c r="F37" i="7"/>
  <c r="G35" i="7"/>
  <c r="G37" i="7"/>
  <c r="H35" i="7"/>
  <c r="H37" i="7"/>
  <c r="G36" i="7"/>
  <c r="F36" i="7"/>
  <c r="I36" i="7"/>
  <c r="H36" i="7"/>
  <c r="F35" i="7"/>
  <c r="E37" i="7" l="1"/>
  <c r="E35" i="7"/>
  <c r="E36" i="7"/>
  <c r="F38" i="7" l="1"/>
  <c r="F39" i="7" s="1"/>
  <c r="G38" i="7"/>
  <c r="G39" i="7" s="1"/>
  <c r="H38" i="7"/>
  <c r="H39" i="7" s="1"/>
  <c r="I38" i="7"/>
  <c r="I39" i="7" s="1"/>
  <c r="B8" i="8" l="1"/>
  <c r="E38" i="7"/>
  <c r="E39" i="7" s="1"/>
  <c r="H33" i="7" l="1"/>
  <c r="I33" i="7"/>
  <c r="G33" i="7"/>
  <c r="F33" i="7"/>
  <c r="E33" i="7" l="1"/>
  <c r="F42" i="7"/>
  <c r="F44" i="7" s="1"/>
  <c r="F55" i="7"/>
  <c r="G42" i="7"/>
  <c r="G44" i="7" s="1"/>
  <c r="G55" i="7"/>
  <c r="I55" i="7"/>
  <c r="I42" i="7"/>
  <c r="I44" i="7" s="1"/>
  <c r="H42" i="7"/>
  <c r="H44" i="7" s="1"/>
  <c r="H55" i="7"/>
  <c r="E42" i="7" l="1"/>
  <c r="B13" i="8" s="1"/>
  <c r="B12" i="8" s="1"/>
  <c r="E55" i="7"/>
  <c r="B7" i="8"/>
  <c r="B6" i="8" s="1"/>
  <c r="E44" i="7"/>
  <c r="E43" i="7" s="1"/>
</calcChain>
</file>

<file path=xl/comments1.xml><?xml version="1.0" encoding="utf-8"?>
<comments xmlns="http://schemas.openxmlformats.org/spreadsheetml/2006/main">
  <authors>
    <author>Автор</author>
  </authors>
  <commentList>
    <comment ref="C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т.ч. капремонт</t>
        </r>
      </text>
    </comment>
    <comment ref="D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резерв по отпускам-3,5млн.руб.(в т.ч. Страховые взносы)</t>
        </r>
      </text>
    </comment>
    <comment ref="A5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деньги на преобретение ОС; инвестиции в основной капитал; удорожание по 08 счету
</t>
        </r>
      </text>
    </comment>
    <comment ref="D5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т.ч. 3405-получили в хоз.ведение от учребителей
</t>
        </r>
      </text>
    </comment>
    <comment ref="E5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снижение на 3 млн.руб. за счет увеличения стоиомсти приватизированных квартир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налог на Пб, налоговые обязательства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5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снижение на 3 млн.руб. за счет увеличения стоиомсти приватизированных квартир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налог на Пб, налоговые обязательства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F5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снижение на 3 млн.руб. за счет увеличения стоиомсти приватизированных квартир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B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Администрация выделяет ОС на праве хоз.ведения
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налог на Пб, налоговые обязательства
</t>
        </r>
      </text>
    </commen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налог на Пб, налоговые обязательства
</t>
        </r>
      </text>
    </comment>
    <comment ref="E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налог на Пб, налоговые обязательства
</t>
        </r>
      </text>
    </comment>
  </commentList>
</comments>
</file>

<file path=xl/sharedStrings.xml><?xml version="1.0" encoding="utf-8"?>
<sst xmlns="http://schemas.openxmlformats.org/spreadsheetml/2006/main" count="395" uniqueCount="139">
  <si>
    <t xml:space="preserve">Основные показатели </t>
  </si>
  <si>
    <t>Текущий период</t>
  </si>
  <si>
    <t>Плановый период</t>
  </si>
  <si>
    <t>В том числе по кварталам</t>
  </si>
  <si>
    <t>план</t>
  </si>
  <si>
    <t>I</t>
  </si>
  <si>
    <t>II</t>
  </si>
  <si>
    <t>III</t>
  </si>
  <si>
    <t>IV</t>
  </si>
  <si>
    <t xml:space="preserve">1. Объемы реализации основных видов товаров (работ, услуг) в натуральном выражении             </t>
  </si>
  <si>
    <t xml:space="preserve">от неосновного вида деятельности      </t>
  </si>
  <si>
    <t xml:space="preserve">б) по неосновному виду деятельности                                    </t>
  </si>
  <si>
    <t>6. Прибыль (убыток) до налогообложения, тыс.руб.</t>
  </si>
  <si>
    <t>7. Прибыль, перечисленная в бюджет муниципального имущества  за использование муниципального имущества, принадлежащего на праве хозяйственного ведения,  тыс. руб.</t>
  </si>
  <si>
    <t xml:space="preserve">8. Чистая прибыль (убыток), тыс. руб.  </t>
  </si>
  <si>
    <t>10. Среднесписочная численность работников, всего человек, в т.ч.:</t>
  </si>
  <si>
    <t>АУП и ИТР;</t>
  </si>
  <si>
    <t xml:space="preserve">рабочих             </t>
  </si>
  <si>
    <t xml:space="preserve">13. Доходы, полученные от сдачи недвижимого имущества в аренду (за вычетом затрат по аренде), тыс. руб.    </t>
  </si>
  <si>
    <t>14. Стоимость чистых активов, тыс. руб.</t>
  </si>
  <si>
    <t>15. Рентабельность продаж, % (стр.5/стр.2+стр.3)</t>
  </si>
  <si>
    <t>поставщики и подрядчики;</t>
  </si>
  <si>
    <t>по налогам и сборам;</t>
  </si>
  <si>
    <t>Показатели</t>
  </si>
  <si>
    <t>Факт за предыдущий период</t>
  </si>
  <si>
    <t xml:space="preserve">- привлеченные средства    </t>
  </si>
  <si>
    <t>План развития</t>
  </si>
  <si>
    <t>План финансово-хозяйственной деятельности МУП ЖКХ п.Боровский на 2012г.</t>
  </si>
  <si>
    <t>Приложение № 1</t>
  </si>
  <si>
    <t>УТВЕРЖДАЮ</t>
  </si>
  <si>
    <t>Глава администрации</t>
  </si>
  <si>
    <t>_____________________</t>
  </si>
  <si>
    <t>"__"____________20__г.</t>
  </si>
  <si>
    <t>"____"__________20___г.</t>
  </si>
  <si>
    <t xml:space="preserve">Согласовано </t>
  </si>
  <si>
    <t>ожидаемое выполнение</t>
  </si>
  <si>
    <t>Руководитель предприятия</t>
  </si>
  <si>
    <t>Наименование должности</t>
  </si>
  <si>
    <t>Подпись</t>
  </si>
  <si>
    <t>Расшифровка подписи</t>
  </si>
  <si>
    <t>Приложение № 2</t>
  </si>
  <si>
    <t>за аналогичный период прошлого года</t>
  </si>
  <si>
    <t>за отчетный период</t>
  </si>
  <si>
    <t>по отношению к плановому значению  (гр.5/гр.3)</t>
  </si>
  <si>
    <t>Единицы измере-ния</t>
  </si>
  <si>
    <t>Плановое значение</t>
  </si>
  <si>
    <t>Фактическое значение</t>
  </si>
  <si>
    <t xml:space="preserve">Динамика изменения фактического значения показателя в отчетном периоде    </t>
  </si>
  <si>
    <t>абс.</t>
  </si>
  <si>
    <t>отн.</t>
  </si>
  <si>
    <t>(отчетный период)</t>
  </si>
  <si>
    <t>Приложение № 3</t>
  </si>
  <si>
    <t>к Порядку составления, утверждения и установления показателей планов финансово-хозяйственной деятельности муниципальных  унитарных предприятий муниципального образования поселок Боровский</t>
  </si>
  <si>
    <t>к Порядку составления, утверждения и установления показателей планов финансово-хозяйственной деятельности муниципальных унитарных предприятий муниципального образования поселок Боровский</t>
  </si>
  <si>
    <t>Справка о состоянии расчетов с бюджетом МУП ЖКХ п.Боровский за  ___________ 20__г.</t>
  </si>
  <si>
    <t>Налоги, всего</t>
  </si>
  <si>
    <t xml:space="preserve">в т.ч.:  </t>
  </si>
  <si>
    <t>федеральный,</t>
  </si>
  <si>
    <t>областной,</t>
  </si>
  <si>
    <t>месный</t>
  </si>
  <si>
    <t>Пени, всего</t>
  </si>
  <si>
    <t xml:space="preserve">местный    </t>
  </si>
  <si>
    <t xml:space="preserve">Штрафы, всего </t>
  </si>
  <si>
    <t>местный</t>
  </si>
  <si>
    <t xml:space="preserve">Итого    </t>
  </si>
  <si>
    <t xml:space="preserve">Задолженность по платежам    в бюджет на начало отчетного периода, тыс.руб. </t>
  </si>
  <si>
    <t>Начислено за отчетный период, тыс. руб.</t>
  </si>
  <si>
    <t>Уплачено за отчетный период,  тыс. руб.</t>
  </si>
  <si>
    <t xml:space="preserve">Задолженность по платежам в бюджет на конец отчетного периода, тыс.руб.       </t>
  </si>
  <si>
    <t>теплоснабжения</t>
  </si>
  <si>
    <t>водоснабжения</t>
  </si>
  <si>
    <t>водоотведения</t>
  </si>
  <si>
    <t>электроснабжения</t>
  </si>
  <si>
    <t>вывоза  ТБО</t>
  </si>
  <si>
    <t>содержания  ЖФ (с капрем)</t>
  </si>
  <si>
    <t>прочие</t>
  </si>
  <si>
    <t>Ед. изм.</t>
  </si>
  <si>
    <t>Гкал</t>
  </si>
  <si>
    <t>м3</t>
  </si>
  <si>
    <t>тыс.кВт</t>
  </si>
  <si>
    <t>м2</t>
  </si>
  <si>
    <t>тыс.руб.</t>
  </si>
  <si>
    <t xml:space="preserve">а) по основному виду деятельности, в т.ч.: </t>
  </si>
  <si>
    <t>затраты на оплату труда</t>
  </si>
  <si>
    <t>отчисления на социальные нужды</t>
  </si>
  <si>
    <t>амортизация</t>
  </si>
  <si>
    <t>прочие затраты</t>
  </si>
  <si>
    <r>
      <t xml:space="preserve">материальные затраты </t>
    </r>
    <r>
      <rPr>
        <i/>
        <sz val="13"/>
        <color theme="1"/>
        <rFont val="Arial"/>
        <family val="2"/>
        <charset val="204"/>
      </rPr>
      <t>(оплата ресурсов, покупка материалов)</t>
    </r>
  </si>
  <si>
    <t>2. Выручка от реализации товаров (работ, услуг), всего</t>
  </si>
  <si>
    <t>в том числе:                                  от основного вида деятельности;</t>
  </si>
  <si>
    <t>тыс. руб.</t>
  </si>
  <si>
    <t xml:space="preserve">5. Прибыль (убыток) от продаж в т.ч. по основному виду деятельности  </t>
  </si>
  <si>
    <t xml:space="preserve">3. Расходы, связанные с реализацией товаров (работ, услуг), всего, в том числе:                       </t>
  </si>
  <si>
    <t>16. Дебиторская задолженность на конец отчетного периода, всего, тыс. руб., в т.ч. покупатели и заказчики</t>
  </si>
  <si>
    <t>17. Кредиторская задолженность на конец отчетного периода, всего, тыс. руб., в т.ч.:</t>
  </si>
  <si>
    <t xml:space="preserve">12. Капитальные вложения за счет всех источников финансирования, тыс. руб.в т.ч. за счет собственных средств </t>
  </si>
  <si>
    <t xml:space="preserve">11. Среднемесячная заработная плата одного работника, руб., в т.ч.:          </t>
  </si>
  <si>
    <t>9. Фонд оплаты труда работников, всего тыс.руб., в т.ч. ФОТ работающих по догово-рам и совместительству (план по штатному расписанию)</t>
  </si>
  <si>
    <t xml:space="preserve">по отношению к аналогичному периоду прошлого года (гр.5/гр.4)  </t>
  </si>
  <si>
    <t>1. Выручка от реализации товаров (работ, услуг), всего</t>
  </si>
  <si>
    <t xml:space="preserve">2. Расходы, связанные с реализацией товаров (работ, услуг), всего, в том числе:                       </t>
  </si>
  <si>
    <t xml:space="preserve">3. Прибыль (убыток) от продаж в т.ч. по основному виду деятельности  </t>
  </si>
  <si>
    <t>4. Прибыль (убыток) до налогообложения, тыс.руб.</t>
  </si>
  <si>
    <t xml:space="preserve">5. Чистая прибыль (убыток), тыс. руб.  </t>
  </si>
  <si>
    <t xml:space="preserve">6. Капитальные вложения за счет всех источников финансирования, тыс. руб.в т.ч. за счет собственных средств </t>
  </si>
  <si>
    <t xml:space="preserve">7. Доходы, полученные от сдачи недвижимого имущества в аренду (за вычетом затрат по аренде), тыс. руб.    </t>
  </si>
  <si>
    <t>8. Дебиторская задолженность на конец отчетного периода, всего, тыс. руб., в т.ч. покупатели и заказчики</t>
  </si>
  <si>
    <t>9. Кредиторская задолженность на конец отчетного периода, всего, тыс. руб., в т.ч.:</t>
  </si>
  <si>
    <t>Отчет  о выполнении основных показателей плана финансово - хозяйственной  деятельности МУП ЖКХ п.Боровский за 2011 г.</t>
  </si>
  <si>
    <t>перед персоналом организации</t>
  </si>
  <si>
    <r>
      <t xml:space="preserve">материальные затраты </t>
    </r>
    <r>
      <rPr>
        <i/>
        <sz val="11"/>
        <color theme="1"/>
        <rFont val="Arial"/>
        <family val="2"/>
        <charset val="204"/>
      </rPr>
      <t>(оплата ресурсов, покупка материалов)</t>
    </r>
  </si>
  <si>
    <t>- бюджетные средства,</t>
  </si>
  <si>
    <r>
      <t>Источники финансирования:</t>
    </r>
    <r>
      <rPr>
        <sz val="13"/>
        <color theme="1"/>
        <rFont val="Arial"/>
        <family val="2"/>
        <charset val="204"/>
      </rPr>
      <t xml:space="preserve">                                    </t>
    </r>
  </si>
  <si>
    <t xml:space="preserve">прибыль до налогообложения;                                 </t>
  </si>
  <si>
    <t>амортизационные отчисления;</t>
  </si>
  <si>
    <t xml:space="preserve">внешние источники, в том числе:                     </t>
  </si>
  <si>
    <t>приобретение основных средств</t>
  </si>
  <si>
    <t>новое строительство</t>
  </si>
  <si>
    <t>реконструкция, модернизация</t>
  </si>
  <si>
    <t>формирование фондов;</t>
  </si>
  <si>
    <t xml:space="preserve">Направления расходования:   </t>
  </si>
  <si>
    <t>налоги и другие обязательные платежи из прибыли;</t>
  </si>
  <si>
    <t xml:space="preserve">капиталовложения по основным направлениям развития предприятия, в том числе: </t>
  </si>
  <si>
    <t>А.И.Прохоров</t>
  </si>
  <si>
    <t>Директор МУП ЖКХ п.Боровский</t>
  </si>
  <si>
    <t>план (БУ)</t>
  </si>
  <si>
    <t>План финансово-хозяйственной деятельности МУП ЖКХ п.Боровский на 2013г.</t>
  </si>
  <si>
    <t>10. Численность работников по штатному рассписанию, всего человек, в т.ч.:</t>
  </si>
  <si>
    <t>Примечание</t>
  </si>
  <si>
    <t>население - разница 32тыс.м3 (частный сектор-6тыс.м3; изменение норматива - тыс.м3; общедомовые нужды-тыс.м3); бюджет-разница 1,6тыс.м3-Спорткомплекс; прочие - 89,6м3-Стройинжиниринг. Добавлены собственные нужды - 7,1тыс.м3</t>
  </si>
  <si>
    <t>за счет увеличения абонентов частного сектора; нормы накопления ТБО</t>
  </si>
  <si>
    <t>реализация по плану (население, бюджет, прочие) составляет 84179 Гкал. Собственные нужды-1772Гкал. Разница реализации в 1%</t>
  </si>
  <si>
    <t>население - разница 55тыс.м3 (частный сектор-6тыс.м3; изменение норматива потребления- 20,2тыс.м3; общедомовые нужды-28,8тыс.м3); бюджет-разница 1,3тыс.м3-Спорткомплекс; прочие - 81,6тыс.м3-Стройинжиниринг</t>
  </si>
  <si>
    <r>
      <t xml:space="preserve">измененила (ранее была поставлены Вр). </t>
    </r>
    <r>
      <rPr>
        <sz val="11"/>
        <color theme="1"/>
        <rFont val="Calibri"/>
        <family val="2"/>
        <charset val="204"/>
        <scheme val="minor"/>
      </rPr>
      <t>ОДН лестничные клетки.</t>
    </r>
  </si>
  <si>
    <t>со второго полугодия Первомайская</t>
  </si>
  <si>
    <t>5. Прибыль (убыток) от продаж в т.ч. по основному виду деятельности  (бухгалтерская)</t>
  </si>
  <si>
    <t>просроченная</t>
  </si>
  <si>
    <t>Провизор 2012</t>
  </si>
  <si>
    <t>материальные затраты (оплата ресурсов, покупка материалов)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</si>
</sst>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rgb="FFFF0000"/>
      <name val="Arial"/>
      <family val="2"/>
      <charset val="204"/>
    </font>
    <font>
      <i/>
      <sz val="13"/>
      <color theme="1"/>
      <name val="Arial"/>
      <family val="2"/>
      <charset val="204"/>
    </font>
    <font>
      <sz val="13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i/>
      <sz val="11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3"/>
      <color theme="0"/>
      <name val="Arial"/>
      <family val="2"/>
      <charset val="204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7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/>
    <xf numFmtId="0" fontId="4" fillId="0" borderId="9" xfId="0" applyFont="1" applyBorder="1" applyAlignment="1">
      <alignment vertical="center"/>
    </xf>
    <xf numFmtId="0" fontId="0" fillId="0" borderId="9" xfId="0" applyBorder="1"/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0" fontId="8" fillId="0" borderId="10" xfId="2" applyNumberFormat="1" applyFont="1" applyBorder="1" applyAlignment="1">
      <alignment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2" applyNumberFormat="1" applyFont="1" applyBorder="1" applyAlignment="1">
      <alignment horizontal="center" vertical="center" wrapText="1"/>
    </xf>
    <xf numFmtId="9" fontId="4" fillId="0" borderId="10" xfId="2" applyFont="1" applyBorder="1" applyAlignment="1">
      <alignment horizontal="center" vertical="center" wrapText="1"/>
    </xf>
    <xf numFmtId="0" fontId="0" fillId="0" borderId="0" xfId="0" applyFill="1"/>
    <xf numFmtId="1" fontId="12" fillId="0" borderId="10" xfId="0" applyNumberFormat="1" applyFont="1" applyBorder="1" applyAlignment="1">
      <alignment horizontal="center" vertical="center" wrapText="1"/>
    </xf>
    <xf numFmtId="9" fontId="12" fillId="0" borderId="10" xfId="2" applyFont="1" applyBorder="1" applyAlignment="1">
      <alignment horizontal="center" vertical="center" wrapText="1"/>
    </xf>
    <xf numFmtId="1" fontId="12" fillId="0" borderId="10" xfId="2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164" fontId="12" fillId="0" borderId="10" xfId="1" applyNumberFormat="1" applyFont="1" applyBorder="1" applyAlignment="1">
      <alignment vertical="center" wrapText="1"/>
    </xf>
    <xf numFmtId="164" fontId="13" fillId="0" borderId="10" xfId="1" applyNumberFormat="1" applyFont="1" applyBorder="1" applyAlignment="1">
      <alignment vertical="center" wrapText="1"/>
    </xf>
    <xf numFmtId="164" fontId="12" fillId="0" borderId="10" xfId="1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vertical="center" wrapText="1"/>
    </xf>
    <xf numFmtId="164" fontId="13" fillId="0" borderId="10" xfId="0" applyNumberFormat="1" applyFont="1" applyBorder="1" applyAlignment="1">
      <alignment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64" fontId="13" fillId="0" borderId="10" xfId="1" applyNumberFormat="1" applyFont="1" applyBorder="1" applyAlignment="1">
      <alignment horizontal="left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43" fontId="13" fillId="0" borderId="10" xfId="1" applyFont="1" applyBorder="1" applyAlignment="1">
      <alignment vertical="center" wrapText="1"/>
    </xf>
    <xf numFmtId="43" fontId="12" fillId="0" borderId="10" xfId="1" applyFont="1" applyBorder="1" applyAlignment="1">
      <alignment vertical="center" wrapText="1"/>
    </xf>
    <xf numFmtId="43" fontId="12" fillId="0" borderId="10" xfId="1" applyFont="1" applyBorder="1" applyAlignment="1">
      <alignment horizontal="center" vertical="center" wrapText="1"/>
    </xf>
    <xf numFmtId="165" fontId="12" fillId="0" borderId="10" xfId="0" applyNumberFormat="1" applyFont="1" applyBorder="1" applyAlignment="1">
      <alignment vertical="center" wrapText="1"/>
    </xf>
    <xf numFmtId="165" fontId="12" fillId="0" borderId="10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0" fontId="13" fillId="0" borderId="10" xfId="2" applyNumberFormat="1" applyFont="1" applyBorder="1" applyAlignment="1">
      <alignment vertical="center" wrapText="1"/>
    </xf>
    <xf numFmtId="10" fontId="13" fillId="0" borderId="10" xfId="2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vertical="center" wrapText="1"/>
    </xf>
    <xf numFmtId="1" fontId="4" fillId="0" borderId="10" xfId="0" applyNumberFormat="1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/>
    <xf numFmtId="0" fontId="4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164" fontId="12" fillId="0" borderId="10" xfId="1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vertical="center" wrapText="1"/>
    </xf>
    <xf numFmtId="164" fontId="12" fillId="0" borderId="10" xfId="1" applyNumberFormat="1" applyFont="1" applyFill="1" applyBorder="1" applyAlignment="1">
      <alignment vertical="center" wrapText="1"/>
    </xf>
    <xf numFmtId="164" fontId="12" fillId="0" borderId="10" xfId="0" applyNumberFormat="1" applyFont="1" applyFill="1" applyBorder="1" applyAlignment="1">
      <alignment vertical="center" wrapText="1"/>
    </xf>
    <xf numFmtId="164" fontId="13" fillId="0" borderId="10" xfId="1" applyNumberFormat="1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10" fontId="13" fillId="0" borderId="10" xfId="2" applyNumberFormat="1" applyFont="1" applyFill="1" applyBorder="1" applyAlignment="1">
      <alignment horizontal="center" vertical="center" wrapText="1"/>
    </xf>
    <xf numFmtId="1" fontId="12" fillId="0" borderId="23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1" fontId="12" fillId="0" borderId="10" xfId="0" applyNumberFormat="1" applyFont="1" applyBorder="1" applyAlignment="1">
      <alignment vertical="center" wrapText="1"/>
    </xf>
    <xf numFmtId="1" fontId="12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 wrapText="1"/>
    </xf>
    <xf numFmtId="1" fontId="0" fillId="0" borderId="0" xfId="0" applyNumberFormat="1"/>
    <xf numFmtId="49" fontId="0" fillId="0" borderId="0" xfId="0" applyNumberFormat="1"/>
    <xf numFmtId="164" fontId="0" fillId="0" borderId="0" xfId="0" applyNumberFormat="1"/>
    <xf numFmtId="164" fontId="0" fillId="0" borderId="0" xfId="1" applyNumberFormat="1" applyFont="1"/>
    <xf numFmtId="0" fontId="13" fillId="0" borderId="10" xfId="0" applyFont="1" applyFill="1" applyBorder="1" applyAlignment="1">
      <alignment vertical="center" wrapText="1"/>
    </xf>
    <xf numFmtId="0" fontId="0" fillId="0" borderId="10" xfId="0" applyBorder="1"/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wrapText="1"/>
    </xf>
    <xf numFmtId="0" fontId="0" fillId="0" borderId="10" xfId="0" applyFill="1" applyBorder="1"/>
    <xf numFmtId="164" fontId="0" fillId="0" borderId="10" xfId="1" applyNumberFormat="1" applyFont="1" applyBorder="1"/>
    <xf numFmtId="164" fontId="0" fillId="2" borderId="10" xfId="0" applyNumberFormat="1" applyFill="1" applyBorder="1" applyAlignment="1">
      <alignment wrapText="1"/>
    </xf>
    <xf numFmtId="0" fontId="19" fillId="0" borderId="10" xfId="0" applyFont="1" applyBorder="1"/>
    <xf numFmtId="9" fontId="0" fillId="0" borderId="10" xfId="2" applyFont="1" applyBorder="1"/>
    <xf numFmtId="0" fontId="14" fillId="0" borderId="1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64" fontId="12" fillId="0" borderId="0" xfId="1" applyNumberFormat="1" applyFont="1" applyFill="1" applyBorder="1" applyAlignment="1">
      <alignment vertical="center" wrapText="1"/>
    </xf>
    <xf numFmtId="9" fontId="0" fillId="0" borderId="0" xfId="2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7">
    <cellStyle name="Обычный" xfId="0" builtinId="0"/>
    <cellStyle name="Обычный 2" xfId="3"/>
    <cellStyle name="Обычный 2 2" xfId="4"/>
    <cellStyle name="Процентный" xfId="2" builtinId="5"/>
    <cellStyle name="Процентный 2" xfId="5"/>
    <cellStyle name="Процентный 3" xfId="6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55;&#1072;&#1087;&#1082;&#1080;%20&#1086;&#1090;&#1076;&#1077;&#1083;&#1086;&#1074;%20&#1052;&#1059;&#1055;%20&#1046;&#1050;&#1061;\&#1055;&#1083;&#1072;&#1085;&#1086;&#1074;&#1099;&#1081;%20&#1086;&#1090;&#1076;&#1077;&#1083;\&#1087;&#1088;&#1086;&#1080;&#1079;&#1074;&#1086;&#1076;&#1089;&#1090;&#1074;&#1077;&#1085;&#1085;&#1099;&#1077;%20&#1087;&#1086;&#1082;&#1072;&#1079;&#1072;&#1090;&#1077;&#1083;&#1080;%20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dc1\&#1076;&#1086;&#1082;&#1091;&#1084;&#1077;&#1085;&#1090;&#1099;$\vnugrymova\Documents\&#1041;&#1044;&#1056;%202012\&#1054;&#1089;&#1085;&#1086;&#1074;&#1085;&#1099;&#1077;%20&#1041;&#1044;&#1056;_20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dc1\&#1076;&#1086;&#1082;&#1091;&#1084;&#1077;&#1085;&#1090;&#1099;$\vnugrymova\Documents\&#1041;&#1044;&#1056;%202012\&#1057;&#1090;&#1088;&#1091;&#1082;&#1090;&#1091;&#1088;&#1072;%20&#1074;&#1099;&#1088;&#1091;&#1095;&#1082;&#1080;%20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dc1\&#1076;&#1086;&#1082;&#1091;&#1084;&#1077;&#1085;&#1090;&#1099;$\vnugrymova\Documents\&#1041;&#1102;&#1076;&#1078;&#1077;&#1090;&#1080;&#1088;&#1086;&#1074;&#1072;&#1085;&#1080;&#1077;%20&#1052;&#1059;&#1055;%20&#1046;&#1050;&#1061;%202013\&#1041;&#1059;%202013\&#1055;&#1088;&#1080;&#1083;&#1086;&#1078;&#1077;&#1085;&#1080;&#1103;%20&#1082;%20&#1087;&#1088;&#1086;&#1075;&#1088;&#1072;&#1084;&#1084;&#1077;-2013%20&#1089;&#1086;&#1075;&#1083;&#1072;&#1089;&#1085;&#1086;%20&#1090;&#1072;&#1088;&#1080;&#1092;&#1086;&#107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dc1\&#1076;&#1086;&#1082;&#1091;&#1084;&#1077;&#1085;&#1090;&#1099;$\vnugrymova\Documents\&#1041;&#1044;&#1056;%202011\&#1047;&#1072;&#1090;&#1088;&#1072;&#1090;&#1099;%20&#1087;&#1086;%20&#1074;&#1080;&#1076;&#1072;&#1084;%20&#1091;&#1089;&#1083;&#1091;&#1075;%20%20(&#1079;&#1072;%20%202011&#1075;&#1086;&#1076;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dc1\&#1076;&#1086;&#1082;&#1091;&#1084;&#1077;&#1085;&#1090;&#1099;$\vnugrymova\Documents\&#1041;&#1044;&#1056;%202012\&#1047;&#1072;&#1090;&#1088;&#1072;&#1090;&#1099;%20&#1087;&#1086;%20&#1074;&#1080;&#1076;&#1072;&#1084;%20&#1091;&#1089;&#1083;&#1091;&#1075;%20%20(&#1079;&#1072;%20%202012&#1075;&#1086;&#1076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dc1\&#1076;&#1086;&#1082;&#1091;&#1084;&#1077;&#1085;&#1090;&#1099;$\vnugrymova\Documents\&#1060;&#1054;&#1058;\&#1064;&#1090;&#1072;&#1090;&#1085;&#1086;&#1077;%20&#1088;&#1072;&#1089;&#1087;&#1080;&#1089;&#1072;&#1085;&#1080;&#1077;%20&#1085;&#1072;%202011%20-%202012%20&#1075;&#107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nugrymova\AppData\Local\Microsoft\Windows\Temporary%20Internet%20Files\Content.Outlook\U9JY3OBK\&#1096;&#1090;&#1072;&#1090;&#1085;&#1086;&#1077;%20%20&#1088;&#1072;&#1089;&#1087;&#1080;&#1089;&#1072;&#1085;&#1080;&#1077;%20%202013%201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nugrymova\AppData\Local\Microsoft\Windows\Temporary%20Internet%20Files\Content.Outlook\U9JY3OBK\&#1096;&#1090;&#1072;&#1090;&#1085;&#1086;&#1077;%20%20&#1088;&#1072;&#1089;&#1087;&#1080;&#1089;&#1072;&#1085;&#1080;&#1077;%20%202013%20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55;&#1072;&#1087;&#1082;&#1080;%20&#1086;&#1090;&#1076;&#1077;&#1083;&#1086;&#1074;%20&#1052;&#1059;&#1055;%20&#1046;&#1050;&#1061;\&#1055;&#1083;&#1072;&#1085;&#1086;&#1074;&#1099;&#1081;%20&#1086;&#1090;&#1076;&#1077;&#1083;\&#1058;&#1040;&#1056;&#1048;&#1060;&#1067;%202013\&#1057;&#1046;&#1060;,%20&#1058;&#1041;&#1054;\&#1096;&#1090;&#1072;&#1090;&#1085;&#1086;&#1077;%20%20&#1088;&#1072;&#1089;&#1087;&#1080;&#1089;&#1072;&#1085;&#1080;&#1077;%20%202013%20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dc1\&#1076;&#1086;&#1082;&#1091;&#1084;&#1077;&#1085;&#1090;&#1099;$\vnugrymova\Documents\&#1041;&#1044;&#1056;%202011\&#1041;&#1059;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dc1\&#1076;&#1086;&#1082;&#1091;&#1084;&#1077;&#1085;&#1090;&#1099;$\vnugrymova\Documents\&#1041;&#1102;&#1076;&#1078;&#1077;&#1090;&#1080;&#1088;&#1086;&#1074;&#1072;&#1085;&#1080;&#1077;%20&#1052;&#1059;&#1055;%20&#1046;&#1050;&#1061;%202013\&#1041;&#1059;%202013\&#1082;&#1072;&#1083;&#1100;&#1082;&#1091;&#1083;&#1103;&#1094;&#1080;&#1103;%20&#1058;&#1057;%20&#1074;%206-&#1082;&#1072;&#1093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dc1\&#1076;&#1086;&#1082;&#1091;&#1084;&#1077;&#1085;&#1090;&#1099;$\vnugrymova\Documents\&#1041;&#1102;&#1076;&#1078;&#1077;&#1090;&#1080;&#1088;&#1086;&#1074;&#1072;&#1085;&#1080;&#1077;%20&#1052;&#1059;&#1055;%20&#1046;&#1050;&#1061;%202012\&#1040;&#1085;&#1072;&#1083;&#1080;&#1079;%20&#1061;&#1044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nugrymova\AppData\Local\Microsoft\Windows\Temporary%20Internet%20Files\Content.Outlook\U9JY3OBK\&#1047;&#1040;&#1065;&#1048;&#1058;&#1040;%202012%20&#1040;&#1052;&#1054;\1%20&#1042;&#1054;&#1055;&#1056;&#1054;&#1057;\&#1054;&#1073;&#1098;&#1105;&#1084;&#1099;%202010-201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&#1086;&#1074;&#1072;&#1103;%20&#1082;&#1086;&#1084;&#1080;&#1089;&#1089;&#1080;&#1103;%202011\12%20&#1076;&#1077;&#1082;&#1072;&#1073;&#1088;&#1100;\&#1087;&#1088;&#1086;&#1080;&#1079;&#1074;&#1086;&#1076;&#1089;&#1090;&#1074;&#1077;&#1085;&#1085;&#1099;&#1077;%20&#1087;&#1086;&#1082;&#1072;&#1079;&#1072;&#1090;&#1077;&#1083;&#1080;%202011%20&#1087;&#1086;%20&#1041;&#1059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dc1\&#1076;&#1086;&#1082;&#1091;&#1084;&#1077;&#1085;&#1090;&#1099;$\vnugrymova\Documents\&#1041;&#1044;&#1056;%202011\&#1054;&#1089;&#1085;&#1086;&#1074;&#1085;&#1099;&#1077;%20&#1041;&#1044;&#1056;_20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dc1\&#1076;&#1086;&#1082;&#1091;&#1084;&#1077;&#1085;&#1090;&#1099;$\vnugrymova\Documents\&#1041;&#1102;&#1076;&#1078;&#1077;&#1090;&#1080;&#1088;&#1086;&#1074;&#1072;&#1085;&#1080;&#1077;%20&#1052;&#1059;&#1055;%20&#1046;&#1050;&#1061;%202012\&#1060;&#1086;&#1088;&#1084;&#1072;%20&#1073;&#1102;&#1076;&#1078;&#1077;&#1090;&#1072;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dc1\&#1076;&#1086;&#1082;&#1091;&#1084;&#1077;&#1085;&#1090;&#1099;$\vnugrymova\Documents\&#1041;&#1102;&#1076;&#1078;&#1077;&#1090;&#1080;&#1088;&#1086;&#1074;&#1072;&#1085;&#1080;&#1077;%20&#1052;&#1059;&#1055;%20&#1046;&#1050;&#1061;%202013\&#1041;&#1059;%202013\&#1082;&#1072;&#1083;&#1100;&#1082;&#1091;&#1083;&#1103;&#1094;&#1080;&#1103;%20&#1042;&#1057;%20&#1074;%206-&#1082;&#1072;&#109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dc1\&#1076;&#1086;&#1082;&#1091;&#1084;&#1077;&#1085;&#1090;&#1099;$\vnugrymova\Documents\&#1041;&#1102;&#1076;&#1078;&#1077;&#1090;&#1080;&#1088;&#1086;&#1074;&#1072;&#1085;&#1080;&#1077;%20&#1052;&#1059;&#1055;%20&#1046;&#1050;&#1061;%202013\&#1041;&#1059;%202013\&#1082;&#1072;&#1083;&#1100;&#1082;&#1091;&#1083;&#1103;&#1094;&#1080;&#1103;%20&#1042;&#1054;%20&#1074;%206-&#1082;&#1072;&#109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&#1086;&#1074;&#1072;&#1103;%20&#1082;&#1086;&#1084;&#1080;&#1089;&#1089;&#1080;&#1103;%202011/12%20&#1076;&#1077;&#1082;&#1072;&#1073;&#1088;&#1100;/&#1087;&#1088;&#1086;&#1080;&#1079;&#1074;&#1086;&#1076;&#1089;&#1090;&#1074;&#1077;&#1085;&#1085;&#1099;&#1077;%20&#1087;&#1086;&#1082;&#1072;&#1079;&#1072;&#1090;&#1077;&#1083;&#1080;%202011%20&#1087;&#1086;%20&#1041;&#105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dc1\&#1076;&#1086;&#1082;&#1091;&#1084;&#1077;&#1085;&#1090;&#1099;$\vnugrymova\Documents\&#1041;&#1102;&#1076;&#1078;&#1077;&#1090;&#1080;&#1088;&#1086;&#1074;&#1072;&#1085;&#1080;&#1077;%20&#1052;&#1059;&#1055;%20&#1046;&#1050;&#1061;%202013\&#1069;&#1085;&#1077;&#1088;&#1075;&#1086;&#1088;&#1077;&#1089;&#1091;&#1088;&#1089;&#109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dc1\&#1076;&#1086;&#1082;&#1091;&#1084;&#1077;&#1085;&#1090;&#1099;$\vnugrymova\Documents\&#1041;&#1102;&#1076;&#1078;&#1077;&#1090;&#1080;&#1088;&#1086;&#1074;&#1072;&#1085;&#1080;&#1077;%20&#1052;&#1059;&#1055;%20&#1046;&#1050;&#1061;%202013\&#1041;&#1059;%202013\&#1082;&#1072;&#1083;&#1100;&#1082;&#1091;&#1083;&#1103;&#1094;&#1080;&#1103;%20&#1090;&#1073;&#1086;%20&#1074;%206-&#1082;&#1072;&#1093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dc1\&#1076;&#1086;&#1082;&#1091;&#1084;&#1077;&#1085;&#1090;&#1099;$\vnugrymova\Documents\&#1041;&#1102;&#1076;&#1078;&#1077;&#1090;&#1080;&#1088;&#1086;&#1074;&#1072;&#1085;&#1080;&#1077;%20&#1052;&#1059;&#1055;%20&#1046;&#1050;&#1061;%202013\&#1041;&#1059;%202013\&#1082;&#1072;&#1083;&#1100;&#1082;&#1091;&#1083;&#1103;&#1094;&#1080;&#1103;%20&#1089;&#1078;&#1092;%20&#1074;%206-&#1082;&#1072;&#1093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dc1\&#1076;&#1086;&#1082;&#1091;&#1084;&#1077;&#1085;&#1090;&#1099;$\vnugrymova\Documents\&#1041;&#1102;&#1076;&#1078;&#1077;&#1090;&#1080;&#1088;&#1086;&#1074;&#1072;&#1085;&#1080;&#1077;%20&#1052;&#1059;&#1055;%20&#1046;&#1050;&#1061;%202013\&#1041;&#1059;%202013\&#1055;&#1088;&#1080;&#1083;&#1086;&#1078;&#1077;&#1085;&#1080;&#1103;%20&#1082;%20&#1087;&#1088;&#1086;&#1075;&#1088;&#1072;&#1084;&#1084;&#1077;-2013%20&#1072;%20(1)%20-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9">
          <cell r="E39">
            <v>83447.848999999987</v>
          </cell>
        </row>
        <row r="45">
          <cell r="E45">
            <v>66254.215118644061</v>
          </cell>
        </row>
        <row r="80">
          <cell r="E80">
            <v>659303.50099999993</v>
          </cell>
        </row>
        <row r="88">
          <cell r="E88">
            <v>15819.704398305086</v>
          </cell>
        </row>
        <row r="133">
          <cell r="E133">
            <v>621458.86500000011</v>
          </cell>
        </row>
        <row r="142">
          <cell r="E142">
            <v>21280.887822033899</v>
          </cell>
        </row>
        <row r="165">
          <cell r="E165">
            <v>2709.42</v>
          </cell>
        </row>
        <row r="166">
          <cell r="E166">
            <v>2420.1880000000001</v>
          </cell>
        </row>
        <row r="167">
          <cell r="E167">
            <v>8559.67</v>
          </cell>
        </row>
        <row r="178">
          <cell r="E178">
            <v>4921.6528854237295</v>
          </cell>
        </row>
        <row r="197">
          <cell r="E197">
            <v>9394.1759999999995</v>
          </cell>
        </row>
        <row r="198">
          <cell r="E198">
            <v>40.762</v>
          </cell>
        </row>
        <row r="213">
          <cell r="E213">
            <v>10111.832974576271</v>
          </cell>
        </row>
        <row r="218">
          <cell r="E218">
            <v>203346.98</v>
          </cell>
        </row>
        <row r="233">
          <cell r="E233">
            <v>29982.647428135595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 по подразделениям"/>
      <sheetName val="Основное производство"/>
      <sheetName val="свод"/>
      <sheetName val="расшифровки"/>
      <sheetName val="Энергоресурсы"/>
      <sheetName val="замена задвижек"/>
      <sheetName val="ремонт сетей канализации"/>
      <sheetName val="ремонт теплоизоляции"/>
      <sheetName val="установка приборов учета"/>
      <sheetName val="Служба гл.инженера"/>
      <sheetName val="Автопарк"/>
      <sheetName val="Выручка Автопарка"/>
      <sheetName val="РСУ"/>
      <sheetName val="Энергослужба"/>
      <sheetName val="КОС"/>
      <sheetName val="Котельная 1-2"/>
      <sheetName val="Котельная 2"/>
      <sheetName val="Осн.склад"/>
      <sheetName val="Сл.эксплуатации"/>
      <sheetName val="Уч.1"/>
      <sheetName val="Уч.2"/>
      <sheetName val="Жилой фонд"/>
      <sheetName val="Бригада АВР"/>
      <sheetName val="КНС 1"/>
      <sheetName val="КНС 2"/>
      <sheetName val="КНС 3"/>
      <sheetName val="ЦТП"/>
      <sheetName val="Гидропорт"/>
      <sheetName val="Водозабор"/>
      <sheetName val="АДС"/>
      <sheetName val="АУП"/>
    </sheetNames>
    <sheetDataSet>
      <sheetData sheetId="0"/>
      <sheetData sheetId="1">
        <row r="18">
          <cell r="DJ18">
            <v>4555.093016949153</v>
          </cell>
        </row>
        <row r="19">
          <cell r="DJ19">
            <v>27947.623830508481</v>
          </cell>
        </row>
        <row r="30">
          <cell r="DJ30">
            <v>88.813805084745766</v>
          </cell>
        </row>
        <row r="31">
          <cell r="DJ31">
            <v>672.18203389830501</v>
          </cell>
        </row>
        <row r="33">
          <cell r="DJ33">
            <v>8148.8684576271189</v>
          </cell>
        </row>
        <row r="244">
          <cell r="DJ244">
            <v>166015.20023300001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учка"/>
      <sheetName val="22-ЖКХ (6)"/>
      <sheetName val="22-ЖКХ (9)"/>
    </sheetNames>
    <sheetDataSet>
      <sheetData sheetId="0">
        <row r="12">
          <cell r="J12">
            <v>981612.38135593233</v>
          </cell>
        </row>
        <row r="56">
          <cell r="G56">
            <v>9934093.1101694927</v>
          </cell>
        </row>
      </sheetData>
      <sheetData sheetId="1" refreshError="1"/>
      <sheetData sheetId="2">
        <row r="30">
          <cell r="J30">
            <v>409247.74576271191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2.2."/>
      <sheetName val="2.3."/>
      <sheetName val="2.4."/>
      <sheetName val="2.1."/>
      <sheetName val="2.2"/>
      <sheetName val="2.3"/>
      <sheetName val="3.1."/>
      <sheetName val="3.2."/>
      <sheetName val="4.1"/>
      <sheetName val="4.2. (свод)"/>
      <sheetName val="4.2.1 (предприятие)"/>
      <sheetName val="4.3. (свод)"/>
      <sheetName val="4.3.1(предприятие)"/>
      <sheetName val="5.1."/>
      <sheetName val="5.2."/>
      <sheetName val="5.3 (свод)"/>
      <sheetName val="5.4 (свод)"/>
      <sheetName val="5.3.1 (предприятие)"/>
      <sheetName val="5.4.1 (предприятие)"/>
      <sheetName val="5.5"/>
      <sheetName val="5.6."/>
      <sheetName val="6.1."/>
      <sheetName val="7.1 (предприятие)"/>
      <sheetName val="расшифровка прочи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C20">
            <v>175225</v>
          </cell>
          <cell r="D20">
            <v>49741.799999999988</v>
          </cell>
          <cell r="H20">
            <v>38614.199999999997</v>
          </cell>
          <cell r="L20">
            <v>37329.800000000003</v>
          </cell>
          <cell r="P20">
            <v>49539.199999999997</v>
          </cell>
        </row>
      </sheetData>
      <sheetData sheetId="20">
        <row r="35">
          <cell r="C35">
            <v>4512.7</v>
          </cell>
          <cell r="D35">
            <v>102.4</v>
          </cell>
          <cell r="H35">
            <v>1018.5</v>
          </cell>
          <cell r="L35">
            <v>2407</v>
          </cell>
          <cell r="P35">
            <v>984.80000000000007</v>
          </cell>
        </row>
        <row r="43">
          <cell r="C43">
            <v>1135.7</v>
          </cell>
          <cell r="D43">
            <v>265.3</v>
          </cell>
          <cell r="H43">
            <v>283.39999999999998</v>
          </cell>
          <cell r="L43">
            <v>294.7</v>
          </cell>
          <cell r="P43">
            <v>292.3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янв"/>
      <sheetName val="СВОД3"/>
      <sheetName val="ЯНВАРЬ цеха"/>
      <sheetName val="ЯНВАРЬ"/>
      <sheetName val="февр"/>
      <sheetName val="март"/>
      <sheetName val="1 кв"/>
      <sheetName val="апрель"/>
      <sheetName val="май"/>
      <sheetName val="июнь"/>
      <sheetName val="2 кв"/>
      <sheetName val="полугодие"/>
      <sheetName val="июль"/>
      <sheetName val="август"/>
      <sheetName val="сентябрь"/>
      <sheetName val="3 кв"/>
      <sheetName val="9 месяцев"/>
      <sheetName val="октябрь"/>
      <sheetName val="ноябрь"/>
      <sheetName val="декабрь"/>
      <sheetName val="4 кв"/>
      <sheetName val="12 месяцев"/>
      <sheetName val="сч.26"/>
      <sheetName val="сч.25"/>
      <sheetName val="сч.23"/>
      <sheetName val="цеховые"/>
      <sheetName val="01 Свод"/>
      <sheetName val="02 Свод"/>
      <sheetName val="03 Свод"/>
      <sheetName val="Свод 1 кв"/>
      <sheetName val="04 Свод"/>
      <sheetName val="05 Свод"/>
      <sheetName val="06 Свод"/>
      <sheetName val="Свод 2 кв"/>
      <sheetName val="Свод полугодие"/>
      <sheetName val="07 Свод"/>
      <sheetName val="08 Свод"/>
      <sheetName val="09 Свод"/>
      <sheetName val="Свод 3 кв"/>
      <sheetName val="Свод 9 месяцев"/>
      <sheetName val="10 Свод"/>
      <sheetName val="11 Свод"/>
      <sheetName val="12 Свод"/>
      <sheetName val="Свод 4 кв"/>
      <sheetName val="Свод 2011"/>
      <sheetName val="Затраты по видам услуг  (за  20"/>
    </sheetNames>
    <sheetDataSet>
      <sheetData sheetId="0"/>
      <sheetData sheetId="1" refreshError="1"/>
      <sheetData sheetId="2"/>
      <sheetData sheetId="3"/>
      <sheetData sheetId="4"/>
      <sheetData sheetId="5">
        <row r="12">
          <cell r="CF12">
            <v>4396398.4300000006</v>
          </cell>
        </row>
      </sheetData>
      <sheetData sheetId="6">
        <row r="12">
          <cell r="CF12">
            <v>4214684.33</v>
          </cell>
        </row>
      </sheetData>
      <sheetData sheetId="7"/>
      <sheetData sheetId="8">
        <row r="12">
          <cell r="CF12">
            <v>2938530.16</v>
          </cell>
        </row>
      </sheetData>
      <sheetData sheetId="9">
        <row r="12">
          <cell r="CF12">
            <v>1914797.49</v>
          </cell>
        </row>
      </sheetData>
      <sheetData sheetId="10">
        <row r="12">
          <cell r="CF12">
            <v>1067940.58</v>
          </cell>
        </row>
      </sheetData>
      <sheetData sheetId="11"/>
      <sheetData sheetId="12"/>
      <sheetData sheetId="13">
        <row r="12">
          <cell r="CF12">
            <v>1024347.84</v>
          </cell>
        </row>
      </sheetData>
      <sheetData sheetId="14">
        <row r="12">
          <cell r="CI12">
            <v>1031744.2899999999</v>
          </cell>
        </row>
      </sheetData>
      <sheetData sheetId="15">
        <row r="12">
          <cell r="CL12">
            <v>1794210.65</v>
          </cell>
        </row>
      </sheetData>
      <sheetData sheetId="16">
        <row r="17">
          <cell r="AT17">
            <v>380569.66000000003</v>
          </cell>
        </row>
      </sheetData>
      <sheetData sheetId="17"/>
      <sheetData sheetId="18">
        <row r="12">
          <cell r="CL12">
            <v>3115234.8200000003</v>
          </cell>
        </row>
      </sheetData>
      <sheetData sheetId="19">
        <row r="12">
          <cell r="CL12">
            <v>4077331.2800000003</v>
          </cell>
        </row>
      </sheetData>
      <sheetData sheetId="20">
        <row r="12">
          <cell r="CL12">
            <v>4544828.2799999993</v>
          </cell>
        </row>
      </sheetData>
      <sheetData sheetId="21">
        <row r="17">
          <cell r="AT17">
            <v>489551.70999999996</v>
          </cell>
        </row>
      </sheetData>
      <sheetData sheetId="22">
        <row r="10">
          <cell r="B10">
            <v>63521949.920000009</v>
          </cell>
          <cell r="BR10">
            <v>218278</v>
          </cell>
        </row>
        <row r="25">
          <cell r="B25">
            <v>29741419.200000003</v>
          </cell>
          <cell r="BR25">
            <v>375685.93000000005</v>
          </cell>
        </row>
        <row r="26">
          <cell r="B26">
            <v>9968672.6899999976</v>
          </cell>
          <cell r="BR26">
            <v>126694.79000000001</v>
          </cell>
        </row>
        <row r="61">
          <cell r="B61">
            <v>7290037.3300000001</v>
          </cell>
          <cell r="BR61">
            <v>1252632.1099999999</v>
          </cell>
        </row>
        <row r="143">
          <cell r="B143">
            <v>2405468.2199999997</v>
          </cell>
        </row>
        <row r="170">
          <cell r="BR170">
            <v>6913826.370000001</v>
          </cell>
        </row>
      </sheetData>
      <sheetData sheetId="23"/>
      <sheetData sheetId="24"/>
      <sheetData sheetId="25"/>
      <sheetData sheetId="26"/>
      <sheetData sheetId="27">
        <row r="9">
          <cell r="B9">
            <v>5066589.16</v>
          </cell>
        </row>
      </sheetData>
      <sheetData sheetId="28">
        <row r="9">
          <cell r="B9">
            <v>4396398.4300000006</v>
          </cell>
        </row>
      </sheetData>
      <sheetData sheetId="29">
        <row r="9">
          <cell r="B9">
            <v>4214684.33</v>
          </cell>
        </row>
      </sheetData>
      <sheetData sheetId="30"/>
      <sheetData sheetId="31">
        <row r="9">
          <cell r="B9">
            <v>2938530.16</v>
          </cell>
        </row>
      </sheetData>
      <sheetData sheetId="32">
        <row r="9">
          <cell r="B9">
            <v>1914797.49</v>
          </cell>
        </row>
      </sheetData>
      <sheetData sheetId="33">
        <row r="9">
          <cell r="B9">
            <v>1067940.58</v>
          </cell>
        </row>
      </sheetData>
      <sheetData sheetId="34"/>
      <sheetData sheetId="35"/>
      <sheetData sheetId="36">
        <row r="9">
          <cell r="B9">
            <v>1024347.84</v>
          </cell>
        </row>
      </sheetData>
      <sheetData sheetId="37">
        <row r="9">
          <cell r="B9">
            <v>1031744.2899999999</v>
          </cell>
        </row>
      </sheetData>
      <sheetData sheetId="38">
        <row r="9">
          <cell r="B9">
            <v>1794210.65</v>
          </cell>
        </row>
      </sheetData>
      <sheetData sheetId="39"/>
      <sheetData sheetId="40"/>
      <sheetData sheetId="41">
        <row r="9">
          <cell r="B9">
            <v>3092516.5700000003</v>
          </cell>
        </row>
      </sheetData>
      <sheetData sheetId="42">
        <row r="9">
          <cell r="B9">
            <v>4077331.2800000003</v>
          </cell>
        </row>
      </sheetData>
      <sheetData sheetId="43">
        <row r="9">
          <cell r="B9">
            <v>4500181.9799999995</v>
          </cell>
        </row>
      </sheetData>
      <sheetData sheetId="44"/>
      <sheetData sheetId="45"/>
      <sheetData sheetId="4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янв"/>
      <sheetName val="СВОД3"/>
      <sheetName val="ЯНВАРЬ цеха"/>
      <sheetName val="ЯНВАРЬ"/>
      <sheetName val="янв (2)"/>
      <sheetName val="февр"/>
      <sheetName val="февр (2)"/>
      <sheetName val="март"/>
      <sheetName val="1 кв"/>
      <sheetName val="апрель"/>
      <sheetName val="май"/>
      <sheetName val="июнь"/>
      <sheetName val="2 кв"/>
      <sheetName val="полугодие"/>
      <sheetName val="июль"/>
      <sheetName val="август"/>
      <sheetName val="сентябрь"/>
      <sheetName val="3 кв"/>
      <sheetName val="9 месяцев"/>
      <sheetName val="октябрь"/>
      <sheetName val="ноябрь"/>
      <sheetName val="декабрь"/>
      <sheetName val="4 кв"/>
      <sheetName val="12 месяцев"/>
      <sheetName val="пустографка"/>
      <sheetName val="4 мес."/>
      <sheetName val="сч.26"/>
      <sheetName val="сч.25"/>
      <sheetName val="сч.23"/>
      <sheetName val="цеховые"/>
      <sheetName val="01 Свод"/>
      <sheetName val="02 Свод"/>
      <sheetName val="03 Свод"/>
      <sheetName val="Свод 1 кв"/>
      <sheetName val="04 Свод"/>
      <sheetName val="05 Свод"/>
      <sheetName val="06 Свод"/>
      <sheetName val="Свод 2 кв"/>
      <sheetName val="Свод полугодие"/>
      <sheetName val="07 Свод"/>
      <sheetName val="08 Свод"/>
      <sheetName val="09 Свод"/>
      <sheetName val="Свод 3 кв"/>
      <sheetName val="Свод 9 месяцев"/>
      <sheetName val="АУП"/>
      <sheetName val="01 Свод (2)"/>
      <sheetName val="02 Свод (2)"/>
      <sheetName val="03 Свод (2)"/>
      <sheetName val="Свод 1 кв (2)"/>
      <sheetName val="10 Свод"/>
      <sheetName val="11 Свод"/>
      <sheetName val="12 Свод"/>
      <sheetName val="Свод 4 кв"/>
      <sheetName val="Свод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B25">
            <v>19916299.350000001</v>
          </cell>
          <cell r="HR25">
            <v>1248790.97</v>
          </cell>
        </row>
        <row r="26">
          <cell r="B26">
            <v>5612057.3000000007</v>
          </cell>
          <cell r="HR26">
            <v>205941.28000000003</v>
          </cell>
        </row>
        <row r="61">
          <cell r="B61">
            <v>3370898.9899999998</v>
          </cell>
        </row>
        <row r="143">
          <cell r="B143">
            <v>1631678.33</v>
          </cell>
          <cell r="HR143">
            <v>0</v>
          </cell>
        </row>
        <row r="170">
          <cell r="HR170">
            <v>6621484.8646506704</v>
          </cell>
        </row>
      </sheetData>
      <sheetData sheetId="20">
        <row r="25">
          <cell r="B25">
            <v>2100429.35</v>
          </cell>
          <cell r="HR25">
            <v>319858.84999999998</v>
          </cell>
        </row>
        <row r="26">
          <cell r="B26">
            <v>590462.46000000008</v>
          </cell>
          <cell r="HR26">
            <v>58457.66</v>
          </cell>
        </row>
        <row r="61">
          <cell r="B61">
            <v>3329306.71</v>
          </cell>
        </row>
        <row r="143">
          <cell r="B143">
            <v>185570.52</v>
          </cell>
          <cell r="HR143">
            <v>0</v>
          </cell>
        </row>
        <row r="170">
          <cell r="HR170">
            <v>3065787.05</v>
          </cell>
        </row>
      </sheetData>
      <sheetData sheetId="21">
        <row r="25">
          <cell r="B25">
            <v>1870834.1900000002</v>
          </cell>
          <cell r="HR25">
            <v>117663.38000000002</v>
          </cell>
        </row>
        <row r="26">
          <cell r="B26">
            <v>527029.49</v>
          </cell>
          <cell r="HR26">
            <v>3429.83</v>
          </cell>
        </row>
        <row r="61">
          <cell r="B61">
            <v>297399.71999999997</v>
          </cell>
        </row>
        <row r="143">
          <cell r="B143">
            <v>191390.51</v>
          </cell>
          <cell r="HR143">
            <v>0</v>
          </cell>
        </row>
        <row r="170">
          <cell r="HR170">
            <v>832554.42999999993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7">
          <cell r="X7">
            <v>43972903.960000001</v>
          </cell>
        </row>
      </sheetData>
      <sheetData sheetId="45"/>
      <sheetData sheetId="46"/>
      <sheetData sheetId="47"/>
      <sheetData sheetId="48"/>
      <sheetData sheetId="49"/>
      <sheetData sheetId="50">
        <row r="7">
          <cell r="X7">
            <v>6253843.1299999999</v>
          </cell>
        </row>
      </sheetData>
      <sheetData sheetId="51">
        <row r="7">
          <cell r="X7">
            <v>7367369.3799999999</v>
          </cell>
        </row>
      </sheetData>
      <sheetData sheetId="52"/>
      <sheetData sheetId="53"/>
      <sheetData sheetId="5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ар.сетка с 01.07.2012"/>
      <sheetName val="тар.сетка с 01.07.2012 (2)"/>
      <sheetName val="Лист2"/>
      <sheetName val="04.02.11 (с изм в орг.стр)"/>
      <sheetName val="числ.2011-2012г"/>
      <sheetName val="ШР 2012 (общее на год)"/>
      <sheetName val="ШР 2012 (для РЭК)"/>
      <sheetName val="изм. с 10.01.2012г"/>
      <sheetName val="ШР 2012 с 10.01.2012 (с допл.)"/>
      <sheetName val="Распр.ставок по видам тарифов"/>
      <sheetName val="изм. с 01.02.2012г"/>
      <sheetName val="ШР 2012 с 01.02.2012 (с доп)"/>
      <sheetName val="изм. с 19.03.2012г"/>
      <sheetName val="ШР 2012 с 19.03.2012 (с доп)"/>
      <sheetName val="изм. с 05.05.2012г"/>
      <sheetName val="ШР 2012 с 05.05.2012"/>
      <sheetName val="изм. с 29.06.2012г"/>
      <sheetName val="с 01.07 изменена тар.ст."/>
      <sheetName val="с 01.07 тар.ст+премия"/>
      <sheetName val="изм. с 30.07.2012г"/>
      <sheetName val="ШР 2012 с 30.07.2012"/>
      <sheetName val="Оптимизация"/>
      <sheetName val="ОУ"/>
      <sheetName val="заполняемость"/>
      <sheetName val="Лист3"/>
      <sheetName val="изм. с 26.11.2012г"/>
      <sheetName val="ШР 2012 с 30.07.2012 (2)"/>
      <sheetName val="Лист4"/>
    </sheetNames>
    <sheetDataSet>
      <sheetData sheetId="0" refreshError="1"/>
      <sheetData sheetId="1">
        <row r="6">
          <cell r="E6">
            <v>5591</v>
          </cell>
        </row>
      </sheetData>
      <sheetData sheetId="2" refreshError="1"/>
      <sheetData sheetId="3">
        <row r="16">
          <cell r="Q16">
            <v>73926.945000000007</v>
          </cell>
        </row>
        <row r="17">
          <cell r="Q17">
            <v>53323.199999999997</v>
          </cell>
        </row>
        <row r="18">
          <cell r="Q18">
            <v>69057.73</v>
          </cell>
        </row>
        <row r="19">
          <cell r="Q19">
            <v>24509.892500000002</v>
          </cell>
        </row>
        <row r="20">
          <cell r="Q20">
            <v>23444.244999999999</v>
          </cell>
        </row>
        <row r="27">
          <cell r="Q27">
            <v>25575.539999999997</v>
          </cell>
        </row>
        <row r="28">
          <cell r="Q28">
            <v>25575.539999999997</v>
          </cell>
        </row>
        <row r="29">
          <cell r="Q29">
            <v>25575.539999999997</v>
          </cell>
        </row>
        <row r="33">
          <cell r="Q33">
            <v>23444.244999999999</v>
          </cell>
        </row>
        <row r="41">
          <cell r="Q41">
            <v>26641.1875</v>
          </cell>
        </row>
        <row r="42">
          <cell r="Q42">
            <v>23444.244999999999</v>
          </cell>
        </row>
        <row r="45">
          <cell r="Q45">
            <v>49019.785000000003</v>
          </cell>
        </row>
        <row r="48">
          <cell r="Q48">
            <v>33870.375</v>
          </cell>
        </row>
        <row r="49">
          <cell r="Q49">
            <v>33870.375</v>
          </cell>
        </row>
        <row r="50">
          <cell r="Q50">
            <v>93776.98</v>
          </cell>
        </row>
        <row r="51">
          <cell r="Q51">
            <v>26499.219999999998</v>
          </cell>
        </row>
        <row r="68">
          <cell r="Q68">
            <v>40028.625</v>
          </cell>
        </row>
        <row r="70">
          <cell r="Q70">
            <v>31317.260000000002</v>
          </cell>
        </row>
        <row r="80">
          <cell r="Q80">
            <v>31317.260000000002</v>
          </cell>
        </row>
        <row r="90">
          <cell r="Q90">
            <v>35398.61</v>
          </cell>
        </row>
        <row r="100">
          <cell r="Q100">
            <v>29952.67</v>
          </cell>
        </row>
        <row r="101">
          <cell r="Q101">
            <v>23444.244999999999</v>
          </cell>
        </row>
        <row r="121">
          <cell r="Q121">
            <v>40028.625</v>
          </cell>
        </row>
        <row r="125">
          <cell r="Q125">
            <v>27703.73</v>
          </cell>
        </row>
        <row r="132">
          <cell r="Q132">
            <v>29952.67</v>
          </cell>
        </row>
        <row r="201">
          <cell r="Q201">
            <v>4479760.3067499995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91">
          <cell r="F191">
            <v>1641449</v>
          </cell>
        </row>
      </sheetData>
      <sheetData sheetId="17" refreshError="1"/>
      <sheetData sheetId="18" refreshError="1"/>
      <sheetData sheetId="19">
        <row r="191">
          <cell r="F191">
            <v>1745020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5">
          <cell r="S15">
            <v>90354.695000000007</v>
          </cell>
        </row>
        <row r="16">
          <cell r="S16">
            <v>56788.38</v>
          </cell>
        </row>
        <row r="17">
          <cell r="S17">
            <v>73544.800000000003</v>
          </cell>
        </row>
        <row r="18">
          <cell r="S18">
            <v>26103.505000000001</v>
          </cell>
        </row>
        <row r="19">
          <cell r="S19">
            <v>23152.673999999999</v>
          </cell>
        </row>
        <row r="25">
          <cell r="S25">
            <v>27238.44</v>
          </cell>
        </row>
        <row r="26">
          <cell r="S26">
            <v>27238.44</v>
          </cell>
        </row>
        <row r="27">
          <cell r="S27">
            <v>27238.44</v>
          </cell>
        </row>
        <row r="35">
          <cell r="S35">
            <v>28373.375</v>
          </cell>
        </row>
        <row r="36">
          <cell r="S36">
            <v>28373.375</v>
          </cell>
        </row>
        <row r="40">
          <cell r="S40">
            <v>0</v>
          </cell>
        </row>
        <row r="41">
          <cell r="S41">
            <v>36071.474999999999</v>
          </cell>
        </row>
        <row r="42">
          <cell r="S42">
            <v>99874.28</v>
          </cell>
        </row>
        <row r="46">
          <cell r="S46">
            <v>28220.885000000002</v>
          </cell>
        </row>
        <row r="61">
          <cell r="S61">
            <v>40006.545000000006</v>
          </cell>
        </row>
        <row r="62">
          <cell r="S62">
            <v>31299.526999999998</v>
          </cell>
        </row>
        <row r="78">
          <cell r="S78">
            <v>31299.526999999998</v>
          </cell>
        </row>
        <row r="94">
          <cell r="S94">
            <v>35378.048000000003</v>
          </cell>
        </row>
        <row r="105">
          <cell r="S105">
            <v>29578.367999999999</v>
          </cell>
        </row>
        <row r="116">
          <cell r="S116">
            <v>40006.545000000006</v>
          </cell>
        </row>
        <row r="118">
          <cell r="S118">
            <v>26168.457000000002</v>
          </cell>
        </row>
        <row r="131">
          <cell r="S131">
            <v>29578.367999999999</v>
          </cell>
        </row>
        <row r="132">
          <cell r="S132">
            <v>23152.673999999999</v>
          </cell>
        </row>
        <row r="140">
          <cell r="S140">
            <v>29578.367999999999</v>
          </cell>
        </row>
        <row r="175">
          <cell r="S175">
            <v>35378.048000000003</v>
          </cell>
        </row>
        <row r="183">
          <cell r="S183">
            <v>0</v>
          </cell>
        </row>
        <row r="194">
          <cell r="S194">
            <v>3774038.0359750008</v>
          </cell>
        </row>
      </sheetData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подразд"/>
      <sheetName val="ЕТС 11 "/>
      <sheetName val="ЕТС 12"/>
      <sheetName val="ЕТС 13"/>
      <sheetName val="ШР 13"/>
      <sheetName val="ШР 13 для ПОТ"/>
      <sheetName val="ЕТКС"/>
      <sheetName val="расчет  нормативной  числ"/>
      <sheetName val="вредность"/>
      <sheetName val="разрывной РД"/>
      <sheetName val="произ календарь"/>
      <sheetName val="выслуга лет на 1.1.13 алфавит"/>
      <sheetName val="стаж работы на 1.01.13 подразд"/>
      <sheetName val="закрепление автотранспорта"/>
      <sheetName val="для ТД"/>
      <sheetName val="внутр.совмещение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73">
          <cell r="AC173">
            <v>4384166.245931685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подразд"/>
      <sheetName val="ЕТС 11 "/>
      <sheetName val="ЕТС 12"/>
      <sheetName val="ЕТС 13"/>
      <sheetName val="ШР 13"/>
      <sheetName val="ШР 13 для ПОТ"/>
      <sheetName val="ЕТКС"/>
      <sheetName val="расчет  нормативной  числ"/>
      <sheetName val="вредность"/>
      <sheetName val="разрывной РД"/>
      <sheetName val="произ календарь"/>
      <sheetName val="выслуга лет на 1.1.13 алфавит"/>
      <sheetName val="стаж работы на 1.01.13 подразд"/>
      <sheetName val="закрепление автотранспорта"/>
      <sheetName val="для ТД"/>
      <sheetName val="внутр.совмещение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1">
          <cell r="AC11">
            <v>95818.287500000006</v>
          </cell>
        </row>
        <row r="12">
          <cell r="AC12">
            <v>52140.28125</v>
          </cell>
        </row>
        <row r="13">
          <cell r="AC13">
            <v>45188.243750000001</v>
          </cell>
        </row>
        <row r="14">
          <cell r="AC14">
            <v>45188.243750000001</v>
          </cell>
        </row>
        <row r="15">
          <cell r="AC15">
            <v>65213.768750000003</v>
          </cell>
        </row>
        <row r="16">
          <cell r="AC16">
            <v>77958.212499999994</v>
          </cell>
        </row>
        <row r="17">
          <cell r="AC17">
            <v>27668.353125000001</v>
          </cell>
        </row>
        <row r="18">
          <cell r="AC18">
            <v>26465.381249999999</v>
          </cell>
        </row>
        <row r="23">
          <cell r="AC23">
            <v>28871.325000000001</v>
          </cell>
        </row>
        <row r="24">
          <cell r="AC24">
            <v>28871.325000000001</v>
          </cell>
        </row>
        <row r="25">
          <cell r="AC25">
            <v>28871.325000000001</v>
          </cell>
        </row>
        <row r="26">
          <cell r="AC26">
            <v>13232.690624999999</v>
          </cell>
        </row>
        <row r="28">
          <cell r="AC28">
            <v>26465.381249999999</v>
          </cell>
        </row>
        <row r="33">
          <cell r="AC33">
            <v>67986.5625</v>
          </cell>
        </row>
        <row r="36">
          <cell r="AC36">
            <v>36887.4</v>
          </cell>
        </row>
        <row r="37">
          <cell r="AC37">
            <v>105861.52499999999</v>
          </cell>
        </row>
        <row r="40">
          <cell r="AC40">
            <v>31273.818749999999</v>
          </cell>
        </row>
        <row r="55">
          <cell r="AC55">
            <v>39961.35</v>
          </cell>
        </row>
        <row r="71">
          <cell r="AC71">
            <v>39961.35</v>
          </cell>
        </row>
        <row r="98">
          <cell r="AC98">
            <v>35353.012499999997</v>
          </cell>
        </row>
        <row r="108">
          <cell r="AC108">
            <v>29914.087500000001</v>
          </cell>
        </row>
        <row r="109">
          <cell r="AC109">
            <v>27668.353125000001</v>
          </cell>
        </row>
        <row r="120">
          <cell r="AC120">
            <v>33813.449999999997</v>
          </cell>
        </row>
        <row r="121">
          <cell r="AC121">
            <v>26465.381249999999</v>
          </cell>
        </row>
        <row r="128">
          <cell r="AC128">
            <v>33993.28125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подразд"/>
      <sheetName val="ЕТС 11 "/>
      <sheetName val="ЕТС 12"/>
      <sheetName val="ЕТС 13"/>
      <sheetName val="ШР 13"/>
      <sheetName val="ШР 13 для ПОТ"/>
      <sheetName val="ЕТКС"/>
      <sheetName val="расчет  нормативной  числ"/>
      <sheetName val="вредность"/>
      <sheetName val="разрывной РД"/>
      <sheetName val="произ календарь"/>
      <sheetName val="выслуга лет на 1.1.13 алфавит"/>
      <sheetName val="стаж работы на 1.01.13 подразд"/>
      <sheetName val="закрепление автотранспорта"/>
    </sheetNames>
    <sheetDataSet>
      <sheetData sheetId="0"/>
      <sheetData sheetId="1"/>
      <sheetData sheetId="2"/>
      <sheetData sheetId="3"/>
      <sheetData sheetId="4"/>
      <sheetData sheetId="5">
        <row r="52">
          <cell r="AD52">
            <v>1052324.3187500001</v>
          </cell>
        </row>
        <row r="55">
          <cell r="AD55">
            <v>39961.35</v>
          </cell>
        </row>
        <row r="56">
          <cell r="AD56">
            <v>21346.084374999999</v>
          </cell>
        </row>
        <row r="71">
          <cell r="AD71">
            <v>39961.35</v>
          </cell>
        </row>
        <row r="72">
          <cell r="AD72">
            <v>21346.084374999999</v>
          </cell>
        </row>
        <row r="113">
          <cell r="AD113">
            <v>107105.48000000001</v>
          </cell>
        </row>
        <row r="128">
          <cell r="AD128">
            <v>33993.28125</v>
          </cell>
        </row>
        <row r="129">
          <cell r="AD129">
            <v>27644.418750000001</v>
          </cell>
        </row>
        <row r="174">
          <cell r="AD174">
            <v>4383541.5982754352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 5 (предприятие)"/>
      <sheetName val="прил 6 (предприятие)"/>
      <sheetName val="Прил 8 данные И.В."/>
      <sheetName val="Прил 8"/>
      <sheetName val="Прил9"/>
      <sheetName val="прил 7"/>
    </sheetNames>
    <sheetDataSet>
      <sheetData sheetId="0" refreshError="1"/>
      <sheetData sheetId="1" refreshError="1"/>
      <sheetData sheetId="2">
        <row r="10">
          <cell r="D10">
            <v>18305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плоснабжение"/>
      <sheetName val="Лист1"/>
    </sheetNames>
    <sheetDataSet>
      <sheetData sheetId="0">
        <row r="15">
          <cell r="C15">
            <v>15.560605418989523</v>
          </cell>
          <cell r="D15">
            <v>14.090043018801508</v>
          </cell>
          <cell r="E15">
            <v>11.173629999999998</v>
          </cell>
          <cell r="F15">
            <v>7.133932999999999</v>
          </cell>
          <cell r="G15">
            <v>1.5471179999999998</v>
          </cell>
          <cell r="H15">
            <v>1.2033139999999996</v>
          </cell>
          <cell r="I15">
            <v>1.2033139999999996</v>
          </cell>
          <cell r="J15">
            <v>1.2033139999999996</v>
          </cell>
          <cell r="K15">
            <v>2.4066279999999991</v>
          </cell>
          <cell r="L15">
            <v>7.1398539811984856</v>
          </cell>
          <cell r="M15">
            <v>9.9668415810104705</v>
          </cell>
          <cell r="N15">
            <v>13.322404999999998</v>
          </cell>
          <cell r="O15">
            <v>85.950999999999993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крупно 9 мес."/>
      <sheetName val="свод крупно год"/>
      <sheetName val="свод  новая форма 9 мес"/>
      <sheetName val="свод новая форма 10 мес"/>
      <sheetName val="свод новая форма 11 мес"/>
      <sheetName val="свод новая форма год"/>
      <sheetName val="свод  новая форма год"/>
      <sheetName val="свод  новая форма год перераспр"/>
      <sheetName val="свод  новая форма год (3)"/>
      <sheetName val="свод  новая форма год (2)"/>
      <sheetName val="уд.вес выруч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динамика ТЭР"/>
      <sheetName val="Электроэнергия"/>
      <sheetName val="электроэн. МОП"/>
      <sheetName val="динами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9">
          <cell r="D9">
            <v>73125.339442464159</v>
          </cell>
          <cell r="E9">
            <v>73409.805483050848</v>
          </cell>
          <cell r="F9">
            <v>66664.573745762711</v>
          </cell>
          <cell r="G9">
            <v>7074.932701135871</v>
          </cell>
          <cell r="J9">
            <v>7326.9085318526395</v>
          </cell>
          <cell r="M9">
            <v>6939.6769918983564</v>
          </cell>
          <cell r="P9">
            <v>6250.2831039470484</v>
          </cell>
          <cell r="S9">
            <v>5053.6627194320208</v>
          </cell>
          <cell r="V9">
            <v>4263.2871548312205</v>
          </cell>
          <cell r="Y9">
            <v>4006.0077119991784</v>
          </cell>
          <cell r="AB9">
            <v>3666.1921659704071</v>
          </cell>
          <cell r="AE9">
            <v>3688.9509944880842</v>
          </cell>
          <cell r="AH9">
            <v>6894.2304712209134</v>
          </cell>
          <cell r="AK9">
            <v>8227.9546389879069</v>
          </cell>
          <cell r="AN9">
            <v>9733.2522567005071</v>
          </cell>
        </row>
        <row r="10">
          <cell r="D10">
            <v>81986.120959999986</v>
          </cell>
          <cell r="E10">
            <v>86407.674999999988</v>
          </cell>
          <cell r="F10">
            <v>88152.76</v>
          </cell>
          <cell r="G10">
            <v>8328.3492656102062</v>
          </cell>
          <cell r="J10">
            <v>8624.9658997676743</v>
          </cell>
          <cell r="M10">
            <v>8169.1312441416785</v>
          </cell>
          <cell r="P10">
            <v>7357.6022412560906</v>
          </cell>
          <cell r="S10">
            <v>5948.9849551877815</v>
          </cell>
          <cell r="V10">
            <v>5018.5840551279816</v>
          </cell>
          <cell r="Y10">
            <v>4448.7964196466046</v>
          </cell>
          <cell r="AB10">
            <v>4071.4206647310921</v>
          </cell>
          <cell r="AE10">
            <v>3879.4310595100264</v>
          </cell>
          <cell r="AH10">
            <v>7250.2160807875844</v>
          </cell>
          <cell r="AK10">
            <v>8652.8074865789331</v>
          </cell>
          <cell r="AN10">
            <v>10235.831587654335</v>
          </cell>
        </row>
        <row r="13">
          <cell r="D13">
            <v>16726.297589999995</v>
          </cell>
          <cell r="E13">
            <v>15133.622754237289</v>
          </cell>
          <cell r="F13">
            <v>14962.8226779661</v>
          </cell>
          <cell r="G13">
            <v>1326.8147566666667</v>
          </cell>
          <cell r="J13">
            <v>1326.8147566666667</v>
          </cell>
          <cell r="M13">
            <v>1326.8147566666667</v>
          </cell>
          <cell r="P13">
            <v>1326.8147566666667</v>
          </cell>
          <cell r="S13">
            <v>1326.8147566666667</v>
          </cell>
          <cell r="V13">
            <v>1326.8147566666667</v>
          </cell>
          <cell r="Y13">
            <v>1405.8615316666665</v>
          </cell>
          <cell r="AB13">
            <v>1405.8615316666665</v>
          </cell>
          <cell r="AE13">
            <v>1488.4214966666666</v>
          </cell>
          <cell r="AH13">
            <v>1488.4214966666666</v>
          </cell>
          <cell r="AK13">
            <v>1488.4214966666666</v>
          </cell>
          <cell r="AN13">
            <v>1488.4214966666666</v>
          </cell>
        </row>
        <row r="14">
          <cell r="D14">
            <v>702637.99999999988</v>
          </cell>
          <cell r="E14">
            <v>666340.9169999999</v>
          </cell>
          <cell r="F14">
            <v>747073.36500000011</v>
          </cell>
          <cell r="G14">
            <v>58553.166666666664</v>
          </cell>
          <cell r="J14">
            <v>58553.166666666664</v>
          </cell>
          <cell r="M14">
            <v>58553.166666666664</v>
          </cell>
          <cell r="P14">
            <v>58553.166666666664</v>
          </cell>
          <cell r="S14">
            <v>58553.166666666664</v>
          </cell>
          <cell r="V14">
            <v>58553.166666666664</v>
          </cell>
          <cell r="Y14">
            <v>58553.166666666664</v>
          </cell>
          <cell r="AB14">
            <v>58553.166666666664</v>
          </cell>
          <cell r="AE14">
            <v>58553.166666666664</v>
          </cell>
          <cell r="AH14">
            <v>58553.166666666664</v>
          </cell>
          <cell r="AK14">
            <v>58553.166666666664</v>
          </cell>
          <cell r="AN14">
            <v>58553.166666666664</v>
          </cell>
        </row>
        <row r="17">
          <cell r="D17">
            <v>23311.959096723163</v>
          </cell>
          <cell r="E17">
            <v>21960.85066101695</v>
          </cell>
          <cell r="F17">
            <v>21508.710822033903</v>
          </cell>
          <cell r="G17">
            <v>1864.8834613465158</v>
          </cell>
          <cell r="J17">
            <v>1864.8834613465158</v>
          </cell>
          <cell r="M17">
            <v>1864.8834613465158</v>
          </cell>
          <cell r="P17">
            <v>1864.8834613465158</v>
          </cell>
          <cell r="S17">
            <v>1864.8834613465158</v>
          </cell>
          <cell r="V17">
            <v>1864.8834613465158</v>
          </cell>
          <cell r="Y17">
            <v>1983.4007969962336</v>
          </cell>
          <cell r="AB17">
            <v>1983.4007969962336</v>
          </cell>
          <cell r="AE17">
            <v>2038.9641836628998</v>
          </cell>
          <cell r="AH17">
            <v>2038.9641836628998</v>
          </cell>
          <cell r="AK17">
            <v>2038.9641836628998</v>
          </cell>
          <cell r="AN17">
            <v>2038.9641836628998</v>
          </cell>
        </row>
        <row r="18">
          <cell r="D18">
            <v>668140.19999999984</v>
          </cell>
          <cell r="E18">
            <v>645468.97699999996</v>
          </cell>
          <cell r="F18">
            <v>730477.36199999996</v>
          </cell>
          <cell r="G18">
            <v>55568.35</v>
          </cell>
          <cell r="J18">
            <v>55568.35</v>
          </cell>
          <cell r="M18">
            <v>55568.35</v>
          </cell>
          <cell r="P18">
            <v>55568.35</v>
          </cell>
          <cell r="S18">
            <v>55568.35</v>
          </cell>
          <cell r="V18">
            <v>55568.35</v>
          </cell>
          <cell r="Y18">
            <v>55788.35</v>
          </cell>
          <cell r="AB18">
            <v>55788.35</v>
          </cell>
          <cell r="AE18">
            <v>55788.35</v>
          </cell>
          <cell r="AH18">
            <v>55788.35</v>
          </cell>
          <cell r="AK18">
            <v>55788.35</v>
          </cell>
          <cell r="AN18">
            <v>55788.35</v>
          </cell>
        </row>
        <row r="21">
          <cell r="D21">
            <v>10611.262075510582</v>
          </cell>
          <cell r="E21">
            <v>9849.4511949152529</v>
          </cell>
          <cell r="F21">
            <v>9330.8898135593226</v>
          </cell>
          <cell r="G21">
            <v>1064.5588850363156</v>
          </cell>
          <cell r="J21">
            <v>988.0933551917434</v>
          </cell>
          <cell r="M21">
            <v>860.78908636302447</v>
          </cell>
          <cell r="P21">
            <v>847.5608481961068</v>
          </cell>
          <cell r="S21">
            <v>743.23772259443012</v>
          </cell>
          <cell r="V21">
            <v>743.23772259443012</v>
          </cell>
          <cell r="Y21">
            <v>740.59207496104659</v>
          </cell>
          <cell r="AB21">
            <v>740.59207496104659</v>
          </cell>
          <cell r="AE21">
            <v>890.87748701680766</v>
          </cell>
          <cell r="AH21">
            <v>847.5608481961068</v>
          </cell>
          <cell r="AK21">
            <v>967.75785959808468</v>
          </cell>
          <cell r="AN21">
            <v>1176.404110801438</v>
          </cell>
        </row>
        <row r="22">
          <cell r="D22">
            <v>10054</v>
          </cell>
          <cell r="E22">
            <v>9412.3179999999993</v>
          </cell>
          <cell r="F22">
            <v>9383.5360000000001</v>
          </cell>
          <cell r="G22">
            <v>1005</v>
          </cell>
          <cell r="J22">
            <v>933</v>
          </cell>
          <cell r="M22">
            <v>811</v>
          </cell>
          <cell r="P22">
            <v>806</v>
          </cell>
          <cell r="S22">
            <v>705</v>
          </cell>
          <cell r="V22">
            <v>705</v>
          </cell>
          <cell r="Y22">
            <v>704</v>
          </cell>
          <cell r="AB22">
            <v>704</v>
          </cell>
          <cell r="AE22">
            <v>847</v>
          </cell>
          <cell r="AH22">
            <v>806</v>
          </cell>
          <cell r="AK22">
            <v>913</v>
          </cell>
          <cell r="AN22">
            <v>1115</v>
          </cell>
        </row>
        <row r="25">
          <cell r="D25">
            <v>8764.0504051723456</v>
          </cell>
          <cell r="E25">
            <v>7368.6353559322024</v>
          </cell>
          <cell r="F25">
            <v>6117.8232203389834</v>
          </cell>
          <cell r="G25">
            <v>599.93892328234585</v>
          </cell>
          <cell r="J25">
            <v>594.07665459999998</v>
          </cell>
          <cell r="M25">
            <v>665.13744309999993</v>
          </cell>
          <cell r="P25">
            <v>631.20849999999996</v>
          </cell>
          <cell r="S25">
            <v>745.57089099999996</v>
          </cell>
          <cell r="V25">
            <v>748.93640379999999</v>
          </cell>
          <cell r="Y25">
            <v>847.85307035000005</v>
          </cell>
          <cell r="AB25">
            <v>904.59074134000002</v>
          </cell>
          <cell r="AE25">
            <v>831.19955203999996</v>
          </cell>
          <cell r="AH25">
            <v>789.02202522000005</v>
          </cell>
          <cell r="AK25">
            <v>708.27629522000007</v>
          </cell>
          <cell r="AN25">
            <v>698.23990522000008</v>
          </cell>
        </row>
        <row r="26">
          <cell r="D26">
            <v>23825.123707984978</v>
          </cell>
          <cell r="E26">
            <v>21047.367707984973</v>
          </cell>
          <cell r="F26">
            <v>19243.466400000001</v>
          </cell>
          <cell r="G26">
            <v>1715.5817079849753</v>
          </cell>
          <cell r="J26">
            <v>1698.818</v>
          </cell>
          <cell r="M26">
            <v>1902.0229999999999</v>
          </cell>
          <cell r="P26">
            <v>1805</v>
          </cell>
          <cell r="S26">
            <v>2132.0299999999997</v>
          </cell>
          <cell r="V26">
            <v>2141.654</v>
          </cell>
          <cell r="Y26">
            <v>2204.105</v>
          </cell>
          <cell r="AB26">
            <v>2351.6019999999999</v>
          </cell>
          <cell r="AE26">
            <v>2160.8119999999999</v>
          </cell>
          <cell r="AH26">
            <v>2051.1660000000002</v>
          </cell>
          <cell r="AK26">
            <v>1847.1660000000002</v>
          </cell>
          <cell r="AN26">
            <v>1815.1660000000002</v>
          </cell>
        </row>
        <row r="29">
          <cell r="D29">
            <v>37063.368081000008</v>
          </cell>
          <cell r="E29">
            <v>33263.712686440675</v>
          </cell>
          <cell r="F29">
            <v>30112.897042372882</v>
          </cell>
          <cell r="G29">
            <v>2913.5786937299999</v>
          </cell>
          <cell r="J29">
            <v>2913.5786937299999</v>
          </cell>
          <cell r="M29">
            <v>2913.5786937299999</v>
          </cell>
          <cell r="P29">
            <v>2913.5786937299999</v>
          </cell>
          <cell r="S29">
            <v>2913.5786937299999</v>
          </cell>
          <cell r="V29">
            <v>2913.5786937299999</v>
          </cell>
          <cell r="Y29">
            <v>3263.6493197700001</v>
          </cell>
          <cell r="AB29">
            <v>3263.6493197700001</v>
          </cell>
          <cell r="AE29">
            <v>3263.6493197700001</v>
          </cell>
          <cell r="AH29">
            <v>3263.6493197700001</v>
          </cell>
          <cell r="AK29">
            <v>3263.6493197700001</v>
          </cell>
          <cell r="AN29">
            <v>3263.6493197700001</v>
          </cell>
        </row>
        <row r="30">
          <cell r="D30">
            <v>207.54779000000002</v>
          </cell>
          <cell r="E30">
            <v>200.78738000000001</v>
          </cell>
          <cell r="F30">
            <v>199.72807</v>
          </cell>
        </row>
        <row r="32">
          <cell r="D32">
            <v>6797.8778312978038</v>
          </cell>
          <cell r="E32">
            <v>8149.3769322033886</v>
          </cell>
          <cell r="F32">
            <v>7612.2551186440696</v>
          </cell>
          <cell r="G32">
            <v>225.46105373809382</v>
          </cell>
          <cell r="J32">
            <v>204.96105373809382</v>
          </cell>
          <cell r="M32">
            <v>268.96105373809382</v>
          </cell>
          <cell r="P32">
            <v>232.96105373809382</v>
          </cell>
          <cell r="S32">
            <v>358.9203842465684</v>
          </cell>
          <cell r="V32">
            <v>1004.6480452635177</v>
          </cell>
          <cell r="Y32">
            <v>1005.4907825516532</v>
          </cell>
          <cell r="AB32">
            <v>1001.460274077077</v>
          </cell>
          <cell r="AE32">
            <v>897.5509096702973</v>
          </cell>
          <cell r="AH32">
            <v>981.82971475504303</v>
          </cell>
          <cell r="AK32">
            <v>296.14099441605993</v>
          </cell>
          <cell r="AN32">
            <v>319.49251136521247</v>
          </cell>
        </row>
        <row r="34">
          <cell r="F34">
            <v>151647.67642914219</v>
          </cell>
        </row>
        <row r="62">
          <cell r="D62">
            <v>10556.44608859146</v>
          </cell>
          <cell r="E62">
            <v>6921.5764099999997</v>
          </cell>
          <cell r="F62">
            <v>33292.511920000004</v>
          </cell>
          <cell r="G62">
            <v>140.90221768813561</v>
          </cell>
          <cell r="J62">
            <v>73.105607518644078</v>
          </cell>
          <cell r="M62">
            <v>173.10560751864406</v>
          </cell>
          <cell r="P62">
            <v>73.105607518644078</v>
          </cell>
          <cell r="S62">
            <v>73.105607518644078</v>
          </cell>
          <cell r="V62">
            <v>143.10560751864406</v>
          </cell>
          <cell r="Y62">
            <v>105.00263888501696</v>
          </cell>
          <cell r="AB62">
            <v>105.00263888501696</v>
          </cell>
          <cell r="AE62">
            <v>280.00263888501695</v>
          </cell>
          <cell r="AH62">
            <v>80.002638885016964</v>
          </cell>
          <cell r="AK62">
            <v>80.002638885016964</v>
          </cell>
          <cell r="AN62">
            <v>9230.0026388850183</v>
          </cell>
        </row>
        <row r="63">
          <cell r="F63">
            <v>36700.069620000002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 с дополнением"/>
      <sheetName val="Лист2"/>
    </sheetNames>
    <sheetDataSet>
      <sheetData sheetId="0" refreshError="1"/>
      <sheetData sheetId="1">
        <row r="5">
          <cell r="F5">
            <v>89280.987000000008</v>
          </cell>
        </row>
        <row r="31">
          <cell r="F31">
            <v>804300</v>
          </cell>
        </row>
        <row r="46">
          <cell r="F46">
            <v>804300</v>
          </cell>
        </row>
        <row r="63">
          <cell r="F63">
            <v>19760</v>
          </cell>
        </row>
        <row r="70">
          <cell r="F70">
            <v>200191</v>
          </cell>
        </row>
      </sheetData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BA38">
            <v>8238.5930000000008</v>
          </cell>
        </row>
        <row r="169">
          <cell r="D169">
            <v>9777.3739999999998</v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 по подразделениям"/>
      <sheetName val="Основное производство"/>
      <sheetName val="свод"/>
      <sheetName val="Энергоресурсы"/>
      <sheetName val="замена задвижек"/>
      <sheetName val="ремонт сетей канализации"/>
      <sheetName val="ремонт теплоизоляции"/>
      <sheetName val="установка приборов учета"/>
      <sheetName val="Служба гл.инженера"/>
      <sheetName val="Автопарк"/>
      <sheetName val="Выручка Автопарка"/>
      <sheetName val="РСУ"/>
      <sheetName val="Энергослужба"/>
      <sheetName val="Котельная 1"/>
      <sheetName val="Котельная 2"/>
      <sheetName val="Жилой фонд"/>
      <sheetName val="Осн.склад"/>
      <sheetName val="Сл.эксплуатации"/>
      <sheetName val="Уч.1"/>
      <sheetName val="Уч.2"/>
      <sheetName val="КОС"/>
      <sheetName val="Бригада АВР"/>
      <sheetName val="КНС 1"/>
      <sheetName val="КНС 2"/>
      <sheetName val="КНС 3"/>
      <sheetName val="ЦТП"/>
      <sheetName val="Гидропорт"/>
      <sheetName val="Водозабор"/>
      <sheetName val="АДС"/>
      <sheetName val="АУП"/>
    </sheetNames>
    <sheetDataSet>
      <sheetData sheetId="0"/>
      <sheetData sheetId="1" refreshError="1">
        <row r="9">
          <cell r="C9">
            <v>11704.647279661018</v>
          </cell>
        </row>
        <row r="86">
          <cell r="DI86">
            <v>64346.420660000003</v>
          </cell>
          <cell r="DJ86">
            <v>63633.777742376413</v>
          </cell>
        </row>
        <row r="101">
          <cell r="DI101">
            <v>54172.520360000002</v>
          </cell>
          <cell r="DJ101">
            <v>44007.547867138834</v>
          </cell>
        </row>
        <row r="102">
          <cell r="DI102">
            <v>17618.493979999999</v>
          </cell>
          <cell r="DJ102">
            <v>11849.670257134614</v>
          </cell>
        </row>
        <row r="137">
          <cell r="DI137">
            <v>7925.9648900000011</v>
          </cell>
          <cell r="DJ137">
            <v>8795.8207932283403</v>
          </cell>
        </row>
        <row r="219">
          <cell r="DI219">
            <v>3365.1365900000005</v>
          </cell>
          <cell r="DJ219">
            <v>2486.5467036584023</v>
          </cell>
        </row>
        <row r="244">
          <cell r="DI244">
            <v>165938.94775299999</v>
          </cell>
        </row>
        <row r="248">
          <cell r="DI248">
            <v>8348.6010499999993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"/>
      <sheetName val="БДР"/>
      <sheetName val="Затраты по подразделениям"/>
      <sheetName val="СВОД"/>
      <sheetName val="СВОД (без внер.деят-ти)"/>
      <sheetName val="Подрядчики"/>
      <sheetName val="СВОД (3)"/>
      <sheetName val="СВОД (4)"/>
      <sheetName val="СВОД БДДС"/>
      <sheetName val="Энергоресурсы"/>
      <sheetName val="СЛУЖБА УПР"/>
      <sheetName val="АУП"/>
      <sheetName val="ППО"/>
      <sheetName val="ЮО"/>
      <sheetName val="ОК"/>
      <sheetName val="ОМТС"/>
      <sheetName val="БУХг"/>
      <sheetName val="Бухг_"/>
      <sheetName val="Расчетный отдел"/>
      <sheetName val="Хозслужба"/>
      <sheetName val="ОТ"/>
      <sheetName val="Отдел по работе с нас_"/>
      <sheetName val="СЛУЖБА ПО СОД И ЭКСП"/>
      <sheetName val="Участок 1"/>
      <sheetName val="Участок 2"/>
      <sheetName val="КОС"/>
      <sheetName val="Группа АВР"/>
      <sheetName val="АДС"/>
      <sheetName val="КНС 1"/>
      <sheetName val="КНС 2"/>
      <sheetName val="КНС 3"/>
      <sheetName val="ЦТП"/>
      <sheetName val="Водозабор"/>
      <sheetName val="Гидропорт"/>
      <sheetName val="Жилой фонд"/>
      <sheetName val="РСУ"/>
      <sheetName val="ИНЖЕНЕР СЛУЖБА"/>
      <sheetName val="Материал склад"/>
      <sheetName val="Автохозяйство"/>
      <sheetName val="Энергослужба"/>
      <sheetName val="Котельная 1 2"/>
      <sheetName val="Котельная 2"/>
      <sheetName val="РСУ (2)"/>
      <sheetName val="План мероприятий БДДС"/>
      <sheetName val="План мероприятий (2)"/>
      <sheetName val="Лист1"/>
      <sheetName val="План мероприятий БДР"/>
      <sheetName val="СВОД (2)"/>
    </sheetNames>
    <sheetDataSet>
      <sheetData sheetId="0"/>
      <sheetData sheetId="1"/>
      <sheetData sheetId="2"/>
      <sheetData sheetId="3">
        <row r="40">
          <cell r="B40">
            <v>225461.05373809382</v>
          </cell>
        </row>
        <row r="106">
          <cell r="B106">
            <v>8967950.4104974363</v>
          </cell>
          <cell r="D106">
            <v>7917950.0187741341</v>
          </cell>
          <cell r="F106">
            <v>7419237.7299698265</v>
          </cell>
          <cell r="H106">
            <v>6000145.4334909106</v>
          </cell>
          <cell r="J106">
            <v>4323544.5702327127</v>
          </cell>
          <cell r="L106">
            <v>3216667.219641244</v>
          </cell>
          <cell r="N106">
            <v>3274864.6623994675</v>
          </cell>
          <cell r="P106">
            <v>3285472.796587863</v>
          </cell>
          <cell r="R106">
            <v>4571665.1144152852</v>
          </cell>
          <cell r="T106">
            <v>6624391.5775374854</v>
          </cell>
          <cell r="V106">
            <v>8024876.0465444243</v>
          </cell>
          <cell r="X106">
            <v>8640528.8153220732</v>
          </cell>
          <cell r="Z106">
            <v>72267294.395412862</v>
          </cell>
        </row>
        <row r="125">
          <cell r="B125">
            <v>4259103.3128787875</v>
          </cell>
          <cell r="D125">
            <v>4259103.3128787875</v>
          </cell>
          <cell r="F125">
            <v>4259103.3128787875</v>
          </cell>
          <cell r="H125">
            <v>4259103.3128787875</v>
          </cell>
          <cell r="J125">
            <v>4259103.3128787875</v>
          </cell>
          <cell r="L125">
            <v>4259103.3128787875</v>
          </cell>
          <cell r="N125">
            <v>4605163.4457575763</v>
          </cell>
          <cell r="P125">
            <v>4605163.4457575763</v>
          </cell>
          <cell r="R125">
            <v>4605163.4457575763</v>
          </cell>
          <cell r="T125">
            <v>4605163.4457575763</v>
          </cell>
          <cell r="V125">
            <v>4605163.4457575763</v>
          </cell>
          <cell r="X125">
            <v>4605163.4457575763</v>
          </cell>
          <cell r="Z125">
            <v>53185600.551818177</v>
          </cell>
        </row>
        <row r="126">
          <cell r="B126">
            <v>1456613.3330045457</v>
          </cell>
          <cell r="D126">
            <v>1456613.3330045457</v>
          </cell>
          <cell r="F126">
            <v>1456613.3330045457</v>
          </cell>
          <cell r="H126">
            <v>1456613.3330045457</v>
          </cell>
          <cell r="J126">
            <v>1456613.3330045457</v>
          </cell>
          <cell r="L126">
            <v>1456613.3330045457</v>
          </cell>
          <cell r="N126">
            <v>1574965.898449091</v>
          </cell>
          <cell r="P126">
            <v>1574965.898449091</v>
          </cell>
          <cell r="R126">
            <v>1574965.898449091</v>
          </cell>
          <cell r="T126">
            <v>1574965.898449091</v>
          </cell>
          <cell r="V126">
            <v>1574965.898449091</v>
          </cell>
          <cell r="X126">
            <v>1574965.898449091</v>
          </cell>
          <cell r="Z126">
            <v>18189475.388721816</v>
          </cell>
        </row>
        <row r="155">
          <cell r="B155">
            <v>178034.28474492772</v>
          </cell>
          <cell r="D155">
            <v>423914.68124123703</v>
          </cell>
          <cell r="F155">
            <v>586292.82813389227</v>
          </cell>
          <cell r="H155">
            <v>326589.22926383582</v>
          </cell>
          <cell r="J155">
            <v>257392.18124123692</v>
          </cell>
          <cell r="L155">
            <v>1481937.1429362653</v>
          </cell>
          <cell r="N155">
            <v>1352544.3659843486</v>
          </cell>
          <cell r="P155">
            <v>1712813.9107524003</v>
          </cell>
          <cell r="R155">
            <v>1388599.71530018</v>
          </cell>
          <cell r="T155">
            <v>1352158.1793579981</v>
          </cell>
          <cell r="V155">
            <v>1088479.2386800318</v>
          </cell>
          <cell r="X155">
            <v>1256842.0352902014</v>
          </cell>
          <cell r="Z155">
            <v>11405597.792926555</v>
          </cell>
        </row>
        <row r="165">
          <cell r="B165">
            <v>0</v>
          </cell>
          <cell r="D165">
            <v>0</v>
          </cell>
          <cell r="F165">
            <v>88926.553672316382</v>
          </cell>
          <cell r="H165">
            <v>78700.564971751417</v>
          </cell>
          <cell r="J165">
            <v>10000</v>
          </cell>
          <cell r="L165">
            <v>760207.15630885132</v>
          </cell>
          <cell r="N165">
            <v>624821.09227871941</v>
          </cell>
          <cell r="P165">
            <v>914858.75706214702</v>
          </cell>
          <cell r="R165">
            <v>919303.2015065914</v>
          </cell>
          <cell r="T165">
            <v>934274.95291902078</v>
          </cell>
          <cell r="V165">
            <v>934274.95291902078</v>
          </cell>
          <cell r="X165">
            <v>934274.95291902078</v>
          </cell>
          <cell r="Z165">
            <v>6199642.1845574398</v>
          </cell>
        </row>
        <row r="240">
          <cell r="B240">
            <v>290920.82</v>
          </cell>
          <cell r="D240">
            <v>290920.82</v>
          </cell>
          <cell r="F240">
            <v>290920.82</v>
          </cell>
          <cell r="H240">
            <v>290920.82</v>
          </cell>
          <cell r="J240">
            <v>290920.82</v>
          </cell>
          <cell r="L240">
            <v>290920.82</v>
          </cell>
          <cell r="N240">
            <v>290920.82</v>
          </cell>
          <cell r="P240">
            <v>290920.82</v>
          </cell>
          <cell r="R240">
            <v>290920.82</v>
          </cell>
          <cell r="T240">
            <v>290920.82</v>
          </cell>
          <cell r="V240">
            <v>290920.82</v>
          </cell>
          <cell r="X240">
            <v>290920.82</v>
          </cell>
          <cell r="Z240">
            <v>3491049.8399999994</v>
          </cell>
        </row>
        <row r="242">
          <cell r="B242">
            <v>16067489.386827655</v>
          </cell>
          <cell r="D242">
            <v>15688413.886751227</v>
          </cell>
          <cell r="F242">
            <v>15557206.588213503</v>
          </cell>
          <cell r="H242">
            <v>13337481.322604353</v>
          </cell>
          <cell r="J242">
            <v>11578505.756631356</v>
          </cell>
          <cell r="L242">
            <v>11742778.392388452</v>
          </cell>
          <cell r="N242">
            <v>12540657.039813315</v>
          </cell>
          <cell r="P242">
            <v>12504470.27505015</v>
          </cell>
          <cell r="R242">
            <v>13589753.224083491</v>
          </cell>
          <cell r="T242">
            <v>15456852.075021643</v>
          </cell>
          <cell r="V242">
            <v>16549786.889957223</v>
          </cell>
          <cell r="X242">
            <v>17377861.878843319</v>
          </cell>
          <cell r="Z242">
            <v>171991256.71618566</v>
          </cell>
        </row>
        <row r="246">
          <cell r="B246">
            <v>64035.271186440681</v>
          </cell>
          <cell r="D246">
            <v>72576.271186440688</v>
          </cell>
          <cell r="F246">
            <v>322530.67796610168</v>
          </cell>
          <cell r="H246">
            <v>57576.271186440681</v>
          </cell>
          <cell r="J246">
            <v>91076.271186440659</v>
          </cell>
          <cell r="L246">
            <v>313945.76271186443</v>
          </cell>
          <cell r="N246">
            <v>99076.271186440688</v>
          </cell>
          <cell r="P246">
            <v>106576.27118644069</v>
          </cell>
          <cell r="R246">
            <v>191278.81355932201</v>
          </cell>
          <cell r="T246">
            <v>136602.27118644066</v>
          </cell>
          <cell r="V246">
            <v>87076.271186440688</v>
          </cell>
          <cell r="X246">
            <v>9204691.5254237279</v>
          </cell>
          <cell r="Z246">
            <v>10747041.949152542</v>
          </cell>
        </row>
      </sheetData>
      <sheetData sheetId="4"/>
      <sheetData sheetId="5"/>
      <sheetData sheetId="6"/>
      <sheetData sheetId="7"/>
      <sheetData sheetId="8"/>
      <sheetData sheetId="9">
        <row r="108">
          <cell r="B108">
            <v>5740598.4728954984</v>
          </cell>
        </row>
      </sheetData>
      <sheetData sheetId="10">
        <row r="242">
          <cell r="B242">
            <v>1760762.0087196021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42">
          <cell r="B242">
            <v>629628.83000870422</v>
          </cell>
        </row>
      </sheetData>
      <sheetData sheetId="24">
        <row r="242">
          <cell r="B242">
            <v>554041.7605153129</v>
          </cell>
        </row>
      </sheetData>
      <sheetData sheetId="25">
        <row r="242">
          <cell r="B242">
            <v>429601.92095453088</v>
          </cell>
        </row>
      </sheetData>
      <sheetData sheetId="26">
        <row r="242">
          <cell r="B242">
            <v>296446.06378655368</v>
          </cell>
        </row>
      </sheetData>
      <sheetData sheetId="27">
        <row r="242">
          <cell r="B242">
            <v>276450.25038666668</v>
          </cell>
        </row>
      </sheetData>
      <sheetData sheetId="28">
        <row r="242">
          <cell r="B242">
            <v>127362.96044187545</v>
          </cell>
        </row>
      </sheetData>
      <sheetData sheetId="29">
        <row r="242">
          <cell r="B242">
            <v>16674.66926905515</v>
          </cell>
        </row>
      </sheetData>
      <sheetData sheetId="30">
        <row r="242">
          <cell r="B242">
            <v>34645.510534884917</v>
          </cell>
        </row>
      </sheetData>
      <sheetData sheetId="31">
        <row r="242">
          <cell r="B242">
            <v>293993.35677462543</v>
          </cell>
        </row>
      </sheetData>
      <sheetData sheetId="32">
        <row r="242">
          <cell r="B242">
            <v>12686.50744641928</v>
          </cell>
        </row>
      </sheetData>
      <sheetData sheetId="33">
        <row r="242">
          <cell r="B242">
            <v>1107.32</v>
          </cell>
        </row>
      </sheetData>
      <sheetData sheetId="34">
        <row r="242">
          <cell r="B242">
            <v>922884.77549720695</v>
          </cell>
        </row>
      </sheetData>
      <sheetData sheetId="35">
        <row r="242">
          <cell r="B242">
            <v>0</v>
          </cell>
        </row>
      </sheetData>
      <sheetData sheetId="36"/>
      <sheetData sheetId="37"/>
      <sheetData sheetId="38">
        <row r="242">
          <cell r="B242">
            <v>1850039.4316103826</v>
          </cell>
        </row>
      </sheetData>
      <sheetData sheetId="39">
        <row r="242">
          <cell r="B242">
            <v>360293.3827557062</v>
          </cell>
        </row>
      </sheetData>
      <sheetData sheetId="40">
        <row r="242">
          <cell r="B242">
            <v>452147.87225515913</v>
          </cell>
        </row>
      </sheetData>
      <sheetData sheetId="41">
        <row r="242">
          <cell r="B242">
            <v>0</v>
          </cell>
        </row>
      </sheetData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доснабжение"/>
      <sheetName val="прочие"/>
    </sheetNames>
    <sheetDataSet>
      <sheetData sheetId="0">
        <row r="16">
          <cell r="O16">
            <v>797.33673599999997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доотведение"/>
      <sheetName val="прочие"/>
      <sheetName val="лизинг"/>
      <sheetName val="ГСМ"/>
    </sheetNames>
    <sheetDataSet>
      <sheetData sheetId="0">
        <row r="10">
          <cell r="O10">
            <v>751.99365200000011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K38">
            <v>8252.2080000000005</v>
          </cell>
        </row>
        <row r="43">
          <cell r="E43">
            <v>73409.805483050848</v>
          </cell>
        </row>
        <row r="80">
          <cell r="E80">
            <v>15133.622754237289</v>
          </cell>
        </row>
        <row r="126">
          <cell r="E126">
            <v>21960.85066101695</v>
          </cell>
        </row>
        <row r="156">
          <cell r="E156">
            <v>7352.7729576271195</v>
          </cell>
        </row>
        <row r="182">
          <cell r="E182">
            <v>9422.5</v>
          </cell>
        </row>
        <row r="186">
          <cell r="E186">
            <v>9849.4511949152547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ализация"/>
      <sheetName val="покупка"/>
      <sheetName val="покупка (2)"/>
      <sheetName val="водопр и автоус в част сектор"/>
      <sheetName val="Внереализ.дох (расш)"/>
      <sheetName val="картриджи"/>
      <sheetName val="месячная разбивка"/>
      <sheetName val="э.эн"/>
      <sheetName val="субабоненты"/>
    </sheetNames>
    <sheetDataSet>
      <sheetData sheetId="0">
        <row r="65">
          <cell r="D65">
            <v>10900400</v>
          </cell>
          <cell r="Q65">
            <v>1069200</v>
          </cell>
          <cell r="W65">
            <v>999200</v>
          </cell>
          <cell r="AC65">
            <v>879200</v>
          </cell>
          <cell r="AI65">
            <v>879200</v>
          </cell>
          <cell r="AO65">
            <v>779200</v>
          </cell>
          <cell r="AU65">
            <v>779200</v>
          </cell>
          <cell r="BA65">
            <v>779200</v>
          </cell>
          <cell r="BG65">
            <v>779200</v>
          </cell>
          <cell r="BM65">
            <v>919200</v>
          </cell>
          <cell r="BS65">
            <v>879200</v>
          </cell>
          <cell r="BY65">
            <v>979200</v>
          </cell>
          <cell r="CD65">
            <v>1179200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БО"/>
    </sheetNames>
    <sheetDataSet>
      <sheetData sheetId="0">
        <row r="10">
          <cell r="C10">
            <v>1.27349125</v>
          </cell>
          <cell r="D10">
            <v>1.2791579166666667</v>
          </cell>
          <cell r="E10">
            <v>1.2848245833333334</v>
          </cell>
          <cell r="F10">
            <v>1.2911995833333334</v>
          </cell>
          <cell r="G10">
            <v>1.2982829166666665</v>
          </cell>
          <cell r="H10">
            <v>1.30749125</v>
          </cell>
          <cell r="I10">
            <v>1.3166995833333333</v>
          </cell>
          <cell r="J10">
            <v>1.3280329166666667</v>
          </cell>
          <cell r="K10">
            <v>1.3393662499999999</v>
          </cell>
          <cell r="L10">
            <v>1.3514079166666666</v>
          </cell>
          <cell r="M10">
            <v>1.3634495833333333</v>
          </cell>
          <cell r="N10">
            <v>1.3754912500000001</v>
          </cell>
          <cell r="O10">
            <v>15.808895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</sheetNames>
    <sheetDataSet>
      <sheetData sheetId="0">
        <row r="9">
          <cell r="O9">
            <v>204.88117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2.2."/>
      <sheetName val="2.3."/>
      <sheetName val="2.4."/>
      <sheetName val="2.1."/>
      <sheetName val="2.2"/>
      <sheetName val="2.3"/>
      <sheetName val="3.1."/>
      <sheetName val="3.2."/>
      <sheetName val="4.1"/>
      <sheetName val="4.2. (свод)"/>
      <sheetName val="4.2.1 (предприятие)"/>
      <sheetName val="4.3. (свод)"/>
      <sheetName val="4.3.1(предприятие)"/>
      <sheetName val="5.1."/>
      <sheetName val="5.2."/>
      <sheetName val="5.3 (свод)"/>
      <sheetName val="5.4 (свод)"/>
      <sheetName val="5.3.1 (предприятие)"/>
      <sheetName val="5.4.1 (предприятие)"/>
      <sheetName val="5.5"/>
      <sheetName val="5.6."/>
      <sheetName val="6.1."/>
      <sheetName val="7.1 (предприятие)"/>
      <sheetName val="расшифровка прочи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9">
          <cell r="C9">
            <v>35655.1</v>
          </cell>
          <cell r="D9">
            <v>8964</v>
          </cell>
          <cell r="H9">
            <v>8820.5</v>
          </cell>
          <cell r="L9">
            <v>9061.2000000000007</v>
          </cell>
          <cell r="P9">
            <v>8809.4</v>
          </cell>
        </row>
        <row r="10">
          <cell r="C10">
            <v>19560</v>
          </cell>
          <cell r="D10">
            <v>4890</v>
          </cell>
          <cell r="H10">
            <v>4890</v>
          </cell>
          <cell r="L10">
            <v>4890</v>
          </cell>
          <cell r="P10">
            <v>4890</v>
          </cell>
        </row>
        <row r="11">
          <cell r="C11">
            <v>74742.5</v>
          </cell>
          <cell r="D11">
            <v>25089.5</v>
          </cell>
          <cell r="H11">
            <v>13996.8</v>
          </cell>
          <cell r="L11">
            <v>11379.400000000001</v>
          </cell>
          <cell r="P11">
            <v>24276.799999999999</v>
          </cell>
        </row>
        <row r="12">
          <cell r="C12">
            <v>25509.600000000002</v>
          </cell>
          <cell r="D12">
            <v>6377.4000000000005</v>
          </cell>
          <cell r="H12">
            <v>6377.4000000000005</v>
          </cell>
          <cell r="L12">
            <v>6377.4000000000005</v>
          </cell>
          <cell r="P12">
            <v>6377.4000000000005</v>
          </cell>
        </row>
        <row r="13">
          <cell r="C13">
            <v>5892</v>
          </cell>
          <cell r="D13">
            <v>1458.3000000000002</v>
          </cell>
          <cell r="H13">
            <v>1458.3000000000002</v>
          </cell>
          <cell r="L13">
            <v>1487.6999999999998</v>
          </cell>
          <cell r="P13">
            <v>1487.6999999999998</v>
          </cell>
        </row>
        <row r="17">
          <cell r="C17">
            <v>14115.199999999999</v>
          </cell>
          <cell r="D17">
            <v>3823.2999999999997</v>
          </cell>
          <cell r="H17">
            <v>3129.7000000000003</v>
          </cell>
          <cell r="L17">
            <v>3200.3</v>
          </cell>
          <cell r="P17">
            <v>3961.8999999999996</v>
          </cell>
        </row>
        <row r="74">
          <cell r="C74">
            <v>594</v>
          </cell>
          <cell r="D74">
            <v>148.5</v>
          </cell>
          <cell r="H74">
            <v>148.5</v>
          </cell>
          <cell r="L74">
            <v>148.5</v>
          </cell>
          <cell r="P74">
            <v>148.5</v>
          </cell>
        </row>
        <row r="76">
          <cell r="C76">
            <v>496.79999999999995</v>
          </cell>
          <cell r="D76">
            <v>124.19999999999999</v>
          </cell>
          <cell r="H76">
            <v>124.19999999999999</v>
          </cell>
          <cell r="L76">
            <v>124.19999999999999</v>
          </cell>
          <cell r="P76">
            <v>124.19999999999999</v>
          </cell>
        </row>
      </sheetData>
      <sheetData sheetId="20">
        <row r="10">
          <cell r="C10">
            <v>6837.2999999999993</v>
          </cell>
          <cell r="D10">
            <v>693</v>
          </cell>
          <cell r="H10">
            <v>1626.6999999999998</v>
          </cell>
          <cell r="L10">
            <v>2977</v>
          </cell>
          <cell r="P10">
            <v>1540.6</v>
          </cell>
        </row>
        <row r="12">
          <cell r="C12">
            <v>180873.39999999997</v>
          </cell>
          <cell r="D12">
            <v>50109.499999999993</v>
          </cell>
          <cell r="H12">
            <v>39916.099999999991</v>
          </cell>
          <cell r="L12">
            <v>40031.499999999993</v>
          </cell>
          <cell r="P12">
            <v>50816.3</v>
          </cell>
        </row>
        <row r="15">
          <cell r="C15">
            <v>2207.6</v>
          </cell>
          <cell r="D15">
            <v>912.59999999999991</v>
          </cell>
          <cell r="H15">
            <v>321.10000000000002</v>
          </cell>
          <cell r="L15">
            <v>164.3</v>
          </cell>
          <cell r="P15">
            <v>809.6</v>
          </cell>
        </row>
        <row r="20">
          <cell r="C20">
            <v>18828.500000000004</v>
          </cell>
          <cell r="D20">
            <v>5300.2000000000007</v>
          </cell>
          <cell r="H20">
            <v>4089.7</v>
          </cell>
          <cell r="L20">
            <v>3954.4000000000005</v>
          </cell>
          <cell r="P20">
            <v>5484.2000000000007</v>
          </cell>
        </row>
        <row r="21">
          <cell r="C21">
            <v>0</v>
          </cell>
          <cell r="D21">
            <v>0</v>
          </cell>
          <cell r="H21">
            <v>0</v>
          </cell>
          <cell r="L21">
            <v>0</v>
          </cell>
          <cell r="P21">
            <v>0</v>
          </cell>
        </row>
        <row r="22">
          <cell r="C22">
            <v>62645.7</v>
          </cell>
          <cell r="D22">
            <v>21940.6</v>
          </cell>
          <cell r="H22">
            <v>11487.3</v>
          </cell>
          <cell r="L22">
            <v>8484.2999999999993</v>
          </cell>
          <cell r="P22">
            <v>20733.5</v>
          </cell>
        </row>
        <row r="23">
          <cell r="C23">
            <v>3861.6</v>
          </cell>
          <cell r="D23">
            <v>502.60000000000025</v>
          </cell>
          <cell r="H23">
            <v>803.9</v>
          </cell>
          <cell r="L23">
            <v>1696.8999999999999</v>
          </cell>
          <cell r="P23">
            <v>858.19999999999982</v>
          </cell>
        </row>
        <row r="27">
          <cell r="C27">
            <v>25240.199999999997</v>
          </cell>
          <cell r="D27">
            <v>6307.5</v>
          </cell>
          <cell r="H27">
            <v>6307.5</v>
          </cell>
          <cell r="L27">
            <v>6312.5999999999995</v>
          </cell>
          <cell r="P27">
            <v>6312.5999999999995</v>
          </cell>
        </row>
        <row r="28">
          <cell r="C28">
            <v>7623</v>
          </cell>
          <cell r="D28">
            <v>1905</v>
          </cell>
          <cell r="H28">
            <v>1905</v>
          </cell>
          <cell r="L28">
            <v>1906.5</v>
          </cell>
          <cell r="P28">
            <v>1906.5</v>
          </cell>
        </row>
        <row r="30">
          <cell r="C30">
            <v>2646</v>
          </cell>
          <cell r="D30">
            <v>660.90000000000009</v>
          </cell>
          <cell r="H30">
            <v>660.90000000000009</v>
          </cell>
          <cell r="L30">
            <v>662.09999999999991</v>
          </cell>
          <cell r="P30">
            <v>662.09999999999991</v>
          </cell>
        </row>
        <row r="37">
          <cell r="C37">
            <v>2529.1000000000349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XFB67"/>
  <sheetViews>
    <sheetView topLeftCell="A10" zoomScaleNormal="100" workbookViewId="0">
      <pane xSplit="2" ySplit="4" topLeftCell="C17" activePane="bottomRight" state="frozen"/>
      <selection activeCell="A10" sqref="A10"/>
      <selection pane="topRight" activeCell="C10" sqref="C10"/>
      <selection pane="bottomLeft" activeCell="A14" sqref="A14"/>
      <selection pane="bottomRight" activeCell="A10" sqref="A1:XFD1048576"/>
    </sheetView>
  </sheetViews>
  <sheetFormatPr defaultRowHeight="15" x14ac:dyDescent="0.25"/>
  <cols>
    <col min="1" max="1" width="28" customWidth="1"/>
    <col min="2" max="2" width="11.85546875" customWidth="1"/>
    <col min="3" max="4" width="11.85546875" hidden="1" customWidth="1"/>
    <col min="5" max="5" width="17.42578125" customWidth="1"/>
    <col min="6" max="6" width="11.140625" style="42" customWidth="1"/>
    <col min="7" max="7" width="16" style="42" customWidth="1"/>
    <col min="8" max="8" width="12.85546875" style="42" customWidth="1"/>
    <col min="9" max="9" width="11.140625" style="42" customWidth="1"/>
    <col min="10" max="10" width="78.42578125" customWidth="1"/>
    <col min="12" max="12" width="20.7109375" customWidth="1"/>
    <col min="13" max="13" width="13.42578125" bestFit="1" customWidth="1"/>
    <col min="14" max="14" width="9.7109375" bestFit="1" customWidth="1"/>
    <col min="15" max="15" width="13.42578125" bestFit="1" customWidth="1"/>
    <col min="16" max="16" width="12.28515625" bestFit="1" customWidth="1"/>
  </cols>
  <sheetData>
    <row r="1" spans="1:10" ht="15" customHeight="1" x14ac:dyDescent="0.25">
      <c r="E1" s="122" t="s">
        <v>28</v>
      </c>
      <c r="F1" s="122"/>
      <c r="J1" s="82"/>
    </row>
    <row r="2" spans="1:10" ht="83.25" customHeight="1" x14ac:dyDescent="0.25">
      <c r="E2" s="123" t="s">
        <v>52</v>
      </c>
      <c r="F2" s="123"/>
      <c r="G2" s="123"/>
      <c r="H2" s="123"/>
      <c r="I2" s="123"/>
      <c r="J2" s="65"/>
    </row>
    <row r="3" spans="1:10" ht="16.5" x14ac:dyDescent="0.25">
      <c r="I3" s="8" t="s">
        <v>29</v>
      </c>
      <c r="J3" s="8"/>
    </row>
    <row r="4" spans="1:10" ht="16.5" x14ac:dyDescent="0.25">
      <c r="I4" s="9" t="s">
        <v>30</v>
      </c>
      <c r="J4" s="9"/>
    </row>
    <row r="5" spans="1:10" ht="16.5" x14ac:dyDescent="0.25">
      <c r="I5" s="9" t="s">
        <v>31</v>
      </c>
      <c r="J5" s="9"/>
    </row>
    <row r="6" spans="1:10" ht="16.5" x14ac:dyDescent="0.25">
      <c r="I6" s="9" t="s">
        <v>31</v>
      </c>
      <c r="J6" s="9"/>
    </row>
    <row r="7" spans="1:10" ht="16.5" x14ac:dyDescent="0.25">
      <c r="I7" s="9" t="s">
        <v>31</v>
      </c>
      <c r="J7" s="9"/>
    </row>
    <row r="8" spans="1:10" ht="16.5" x14ac:dyDescent="0.25">
      <c r="I8" s="9" t="s">
        <v>31</v>
      </c>
      <c r="J8" s="9"/>
    </row>
    <row r="9" spans="1:10" ht="24.75" customHeight="1" x14ac:dyDescent="0.25">
      <c r="I9" s="9" t="s">
        <v>32</v>
      </c>
      <c r="J9" s="9"/>
    </row>
    <row r="10" spans="1:10" ht="16.5" customHeight="1" x14ac:dyDescent="0.25">
      <c r="A10" s="124" t="s">
        <v>126</v>
      </c>
      <c r="B10" s="124"/>
      <c r="C10" s="124"/>
      <c r="D10" s="124"/>
      <c r="E10" s="124"/>
      <c r="F10" s="124"/>
      <c r="G10" s="124"/>
      <c r="H10" s="124"/>
      <c r="I10" s="124"/>
    </row>
    <row r="11" spans="1:10" ht="16.5" customHeight="1" x14ac:dyDescent="0.25">
      <c r="A11" s="121" t="s">
        <v>0</v>
      </c>
      <c r="B11" s="121" t="s">
        <v>76</v>
      </c>
      <c r="C11" s="121">
        <v>2011</v>
      </c>
      <c r="D11" s="121" t="s">
        <v>137</v>
      </c>
      <c r="E11" s="121" t="s">
        <v>2</v>
      </c>
      <c r="F11" s="121" t="s">
        <v>3</v>
      </c>
      <c r="G11" s="121"/>
      <c r="H11" s="121"/>
      <c r="I11" s="121"/>
      <c r="J11" s="121" t="s">
        <v>128</v>
      </c>
    </row>
    <row r="12" spans="1:10" ht="16.5" customHeight="1" x14ac:dyDescent="0.25">
      <c r="A12" s="121"/>
      <c r="B12" s="121"/>
      <c r="C12" s="121"/>
      <c r="D12" s="121"/>
      <c r="E12" s="121"/>
      <c r="F12" s="121"/>
      <c r="G12" s="121"/>
      <c r="H12" s="121"/>
      <c r="I12" s="121"/>
      <c r="J12" s="121"/>
    </row>
    <row r="13" spans="1:10" ht="30" customHeight="1" x14ac:dyDescent="0.25">
      <c r="A13" s="121"/>
      <c r="B13" s="121"/>
      <c r="C13" s="121">
        <v>2011</v>
      </c>
      <c r="D13" s="121">
        <v>2012</v>
      </c>
      <c r="E13" s="121"/>
      <c r="F13" s="83" t="s">
        <v>5</v>
      </c>
      <c r="G13" s="83" t="s">
        <v>6</v>
      </c>
      <c r="H13" s="83" t="s">
        <v>7</v>
      </c>
      <c r="I13" s="83" t="s">
        <v>8</v>
      </c>
      <c r="J13" s="121"/>
    </row>
    <row r="14" spans="1:10" ht="16.5" customHeight="1" x14ac:dyDescent="0.25">
      <c r="A14" s="83">
        <v>1</v>
      </c>
      <c r="B14" s="83">
        <v>2</v>
      </c>
      <c r="C14" s="98"/>
      <c r="D14" s="98"/>
      <c r="E14" s="83">
        <v>3</v>
      </c>
      <c r="F14" s="83">
        <v>4</v>
      </c>
      <c r="G14" s="83">
        <v>5</v>
      </c>
      <c r="H14" s="83">
        <v>6</v>
      </c>
      <c r="I14" s="83">
        <v>7</v>
      </c>
      <c r="J14" s="109">
        <v>8</v>
      </c>
    </row>
    <row r="15" spans="1:10" ht="64.5" customHeight="1" x14ac:dyDescent="0.25">
      <c r="A15" s="52" t="s">
        <v>9</v>
      </c>
      <c r="B15" s="52"/>
      <c r="C15" s="52"/>
      <c r="D15" s="52"/>
      <c r="E15" s="52"/>
      <c r="F15" s="83"/>
      <c r="G15" s="83"/>
      <c r="H15" s="83"/>
      <c r="I15" s="83"/>
      <c r="J15" s="109"/>
    </row>
    <row r="16" spans="1:10" ht="26.25" customHeight="1" x14ac:dyDescent="0.25">
      <c r="A16" s="52" t="s">
        <v>69</v>
      </c>
      <c r="B16" s="45" t="s">
        <v>77</v>
      </c>
      <c r="C16" s="45">
        <v>86407.675000000003</v>
      </c>
      <c r="D16" s="45">
        <f>[1]Лист1!$E$39</f>
        <v>83447.848999999987</v>
      </c>
      <c r="E16" s="90">
        <f>[2]теплоснабжение!$O$15*1000</f>
        <v>85951</v>
      </c>
      <c r="F16" s="86">
        <f>([2]теплоснабжение!$C$15+[2]теплоснабжение!$D$15+[2]теплоснабжение!$E$15)*1000</f>
        <v>40824.278437791028</v>
      </c>
      <c r="G16" s="86">
        <f>([2]теплоснабжение!$F$15+[2]теплоснабжение!$G$15+[2]теплоснабжение!$H$15)*1000</f>
        <v>9884.364999999998</v>
      </c>
      <c r="H16" s="86">
        <f>([2]теплоснабжение!$I$15+[2]теплоснабжение!$J$15+[2]теплоснабжение!$K$15)*1000</f>
        <v>4813.2559999999985</v>
      </c>
      <c r="I16" s="86">
        <f>([2]теплоснабжение!$L$15+[2]теплоснабжение!$M$15+[2]теплоснабжение!$N$15)*1000</f>
        <v>30429.100562208951</v>
      </c>
      <c r="J16" s="110" t="s">
        <v>131</v>
      </c>
    </row>
    <row r="17" spans="1:16" ht="44.25" customHeight="1" x14ac:dyDescent="0.25">
      <c r="A17" s="52" t="s">
        <v>70</v>
      </c>
      <c r="B17" s="45" t="s">
        <v>78</v>
      </c>
      <c r="C17" s="45">
        <v>667852.91700000002</v>
      </c>
      <c r="D17" s="45">
        <f>[1]Лист1!$E$80</f>
        <v>659303.50099999993</v>
      </c>
      <c r="E17" s="90">
        <f>[3]водоснабжение!$O$16*1000</f>
        <v>797336.73599999992</v>
      </c>
      <c r="F17" s="86">
        <f>E17/4</f>
        <v>199334.18399999998</v>
      </c>
      <c r="G17" s="86">
        <f t="shared" ref="G17:I18" si="0">F17</f>
        <v>199334.18399999998</v>
      </c>
      <c r="H17" s="86">
        <f t="shared" si="0"/>
        <v>199334.18399999998</v>
      </c>
      <c r="I17" s="86">
        <f t="shared" si="0"/>
        <v>199334.18399999998</v>
      </c>
      <c r="J17" s="111" t="s">
        <v>132</v>
      </c>
      <c r="L17" s="107"/>
      <c r="M17" s="107"/>
      <c r="N17" s="106"/>
    </row>
    <row r="18" spans="1:16" ht="45" customHeight="1" x14ac:dyDescent="0.25">
      <c r="A18" s="52" t="s">
        <v>71</v>
      </c>
      <c r="B18" s="45" t="s">
        <v>78</v>
      </c>
      <c r="C18" s="45">
        <v>645468.97700000007</v>
      </c>
      <c r="D18" s="45">
        <f>[1]Лист1!$E$133</f>
        <v>621458.86500000011</v>
      </c>
      <c r="E18" s="90">
        <f>[4]водоотведение!$O$10*1000</f>
        <v>751993.65200000012</v>
      </c>
      <c r="F18" s="86">
        <f>E18/4</f>
        <v>187998.41300000003</v>
      </c>
      <c r="G18" s="86">
        <f t="shared" si="0"/>
        <v>187998.41300000003</v>
      </c>
      <c r="H18" s="86">
        <f t="shared" si="0"/>
        <v>187998.41300000003</v>
      </c>
      <c r="I18" s="86">
        <f t="shared" si="0"/>
        <v>187998.41300000003</v>
      </c>
      <c r="J18" s="114" t="s">
        <v>129</v>
      </c>
      <c r="L18" s="107"/>
      <c r="M18" s="107"/>
      <c r="N18" s="106"/>
    </row>
    <row r="19" spans="1:16" ht="16.5" customHeight="1" x14ac:dyDescent="0.25">
      <c r="A19" s="52" t="s">
        <v>72</v>
      </c>
      <c r="B19" s="45" t="s">
        <v>79</v>
      </c>
      <c r="C19" s="45">
        <f>[5]Лист1!$E$182</f>
        <v>9422.5</v>
      </c>
      <c r="D19" s="45">
        <f>[1]Лист1!$E$197+[1]Лист1!$E$198</f>
        <v>9434.9380000000001</v>
      </c>
      <c r="E19" s="90">
        <f>[6]реализация!$D$65/1000</f>
        <v>10900.4</v>
      </c>
      <c r="F19" s="86">
        <f>([6]реализация!$Q$65+[6]реализация!$W$65+[6]реализация!$AC$65)/1000</f>
        <v>2947.6</v>
      </c>
      <c r="G19" s="86">
        <f>([6]реализация!$AI$65+[6]реализация!$AO$65+[6]реализация!$AU$65)/1000</f>
        <v>2437.6</v>
      </c>
      <c r="H19" s="86">
        <f>([6]реализация!$BA$65+[6]реализация!$BG$65+[6]реализация!$BM$65)/1000</f>
        <v>2477.6</v>
      </c>
      <c r="I19" s="86">
        <f>([6]реализация!$BS$65+[6]реализация!$BY$65+[6]реализация!$CD$65)/1000</f>
        <v>3037.6</v>
      </c>
      <c r="J19" s="115" t="s">
        <v>133</v>
      </c>
      <c r="L19" s="107"/>
      <c r="M19" s="107"/>
      <c r="N19" s="106"/>
    </row>
    <row r="20" spans="1:16" ht="16.5" customHeight="1" x14ac:dyDescent="0.25">
      <c r="A20" s="52" t="s">
        <v>73</v>
      </c>
      <c r="B20" s="45" t="s">
        <v>78</v>
      </c>
      <c r="C20" s="45">
        <v>21047.367707984973</v>
      </c>
      <c r="D20" s="45">
        <f>[1]Лист1!$E$165+[1]Лист1!$E$166+[1]Лист1!$E$167</f>
        <v>13689.278</v>
      </c>
      <c r="E20" s="90">
        <f>[7]ТБО!$O$10*1000</f>
        <v>15808.895</v>
      </c>
      <c r="F20" s="86">
        <f>([7]ТБО!$C$10+[7]ТБО!$D$10+[7]ТБО!$E$10)*1000</f>
        <v>3837.4737500000001</v>
      </c>
      <c r="G20" s="86">
        <f>([7]ТБО!$F$10+[7]ТБО!$G$10+[7]ТБО!$H$10)*1000</f>
        <v>3896.9737500000001</v>
      </c>
      <c r="H20" s="86">
        <f>([7]ТБО!$I$10+[7]ТБО!$J$10+[7]ТБО!$K$10)*1000</f>
        <v>3984.0987499999997</v>
      </c>
      <c r="I20" s="86">
        <f>([7]ТБО!$L$10+[7]ТБО!$M$10+[7]ТБО!$N$10)*1000</f>
        <v>4090.3487500000006</v>
      </c>
      <c r="J20" s="109" t="s">
        <v>130</v>
      </c>
      <c r="M20" s="107"/>
      <c r="O20" s="107"/>
      <c r="P20" s="107"/>
    </row>
    <row r="21" spans="1:16" ht="31.5" customHeight="1" x14ac:dyDescent="0.25">
      <c r="A21" s="52" t="s">
        <v>74</v>
      </c>
      <c r="B21" s="45" t="s">
        <v>80</v>
      </c>
      <c r="C21" s="45">
        <v>200921.77</v>
      </c>
      <c r="D21" s="45">
        <f>[1]Лист1!$E$218</f>
        <v>203346.98</v>
      </c>
      <c r="E21" s="90">
        <f>[8]содержание!$O$9*1000</f>
        <v>204881.16999999998</v>
      </c>
      <c r="F21" s="90">
        <f>E21-1534*2</f>
        <v>201813.16999999998</v>
      </c>
      <c r="G21" s="90">
        <f>F21</f>
        <v>201813.16999999998</v>
      </c>
      <c r="H21" s="90">
        <f>E21+1534*2</f>
        <v>207949.16999999998</v>
      </c>
      <c r="I21" s="90">
        <f>H21</f>
        <v>207949.16999999998</v>
      </c>
      <c r="J21" s="109" t="s">
        <v>134</v>
      </c>
      <c r="M21" s="107"/>
      <c r="O21" s="107"/>
      <c r="P21" s="107"/>
    </row>
    <row r="22" spans="1:16" ht="16.5" customHeight="1" x14ac:dyDescent="0.25">
      <c r="A22" s="52" t="s">
        <v>75</v>
      </c>
      <c r="B22" s="52"/>
      <c r="C22" s="52"/>
      <c r="D22" s="52"/>
      <c r="E22" s="53"/>
      <c r="F22" s="87"/>
      <c r="G22" s="54"/>
      <c r="H22" s="54"/>
      <c r="I22" s="54"/>
      <c r="J22" s="109"/>
      <c r="M22" s="107"/>
      <c r="O22" s="107"/>
      <c r="P22" s="107"/>
    </row>
    <row r="23" spans="1:16" ht="39" customHeight="1" x14ac:dyDescent="0.25">
      <c r="A23" s="52" t="s">
        <v>88</v>
      </c>
      <c r="B23" s="45" t="s">
        <v>81</v>
      </c>
      <c r="C23" s="91">
        <f t="shared" ref="C23:I23" si="1">C24+C32</f>
        <v>169119.08419491525</v>
      </c>
      <c r="D23" s="91">
        <f t="shared" si="1"/>
        <v>158305.03373728812</v>
      </c>
      <c r="E23" s="91">
        <f t="shared" si="1"/>
        <v>183402.5</v>
      </c>
      <c r="F23" s="91">
        <f t="shared" si="1"/>
        <v>51568.200000000004</v>
      </c>
      <c r="G23" s="91">
        <f t="shared" si="1"/>
        <v>40572.1</v>
      </c>
      <c r="H23" s="91">
        <f t="shared" si="1"/>
        <v>39645.699999999997</v>
      </c>
      <c r="I23" s="91">
        <f t="shared" si="1"/>
        <v>51616.5</v>
      </c>
      <c r="J23" s="116"/>
    </row>
    <row r="24" spans="1:16" ht="43.5" customHeight="1" x14ac:dyDescent="0.25">
      <c r="A24" s="52" t="s">
        <v>89</v>
      </c>
      <c r="B24" s="45"/>
      <c r="C24" s="91">
        <f t="shared" ref="C24:I24" si="2">SUM(C25:C31)</f>
        <v>160970.21573728815</v>
      </c>
      <c r="D24" s="91">
        <f t="shared" si="2"/>
        <v>148370.94062711863</v>
      </c>
      <c r="E24" s="91">
        <f t="shared" si="2"/>
        <v>176565.2</v>
      </c>
      <c r="F24" s="91">
        <f t="shared" si="2"/>
        <v>50875.200000000004</v>
      </c>
      <c r="G24" s="91">
        <f t="shared" si="2"/>
        <v>38945.4</v>
      </c>
      <c r="H24" s="91">
        <f t="shared" si="2"/>
        <v>36668.699999999997</v>
      </c>
      <c r="I24" s="91">
        <f t="shared" si="2"/>
        <v>50075.9</v>
      </c>
      <c r="J24" s="109"/>
    </row>
    <row r="25" spans="1:16" ht="16.5" customHeight="1" x14ac:dyDescent="0.25">
      <c r="A25" s="52" t="s">
        <v>69</v>
      </c>
      <c r="B25" s="45"/>
      <c r="C25" s="45">
        <f>[5]Лист1!$E$43</f>
        <v>73409.805483050848</v>
      </c>
      <c r="D25" s="45">
        <f>[1]Лист1!$E$45</f>
        <v>66254.215118644061</v>
      </c>
      <c r="E25" s="90">
        <f>'[9]5.3.1 (предприятие)'!$C$11</f>
        <v>74742.5</v>
      </c>
      <c r="F25" s="86">
        <f>'[9]5.3.1 (предприятие)'!$D$11</f>
        <v>25089.5</v>
      </c>
      <c r="G25" s="86">
        <f>'[9]5.3.1 (предприятие)'!$H$11</f>
        <v>13996.8</v>
      </c>
      <c r="H25" s="86">
        <f>'[9]5.3.1 (предприятие)'!$L$11</f>
        <v>11379.400000000001</v>
      </c>
      <c r="I25" s="86">
        <f>'[9]5.3.1 (предприятие)'!$P$11</f>
        <v>24276.799999999999</v>
      </c>
      <c r="J25" s="109"/>
    </row>
    <row r="26" spans="1:16" x14ac:dyDescent="0.25">
      <c r="A26" s="52" t="s">
        <v>70</v>
      </c>
      <c r="B26" s="45"/>
      <c r="C26" s="45">
        <f>[5]Лист1!$E$80</f>
        <v>15133.622754237289</v>
      </c>
      <c r="D26" s="45">
        <f>[1]Лист1!$E$88</f>
        <v>15819.704398305086</v>
      </c>
      <c r="E26" s="90">
        <f>'[9]5.3.1 (предприятие)'!$C$10+'[9]5.3.1 (предприятие)'!$C$74</f>
        <v>20154</v>
      </c>
      <c r="F26" s="86">
        <f>'[9]5.3.1 (предприятие)'!$D$10++'[9]5.3.1 (предприятие)'!$D$74</f>
        <v>5038.5</v>
      </c>
      <c r="G26" s="86">
        <f>'[9]5.3.1 (предприятие)'!$H$10++'[9]5.3.1 (предприятие)'!$H$74</f>
        <v>5038.5</v>
      </c>
      <c r="H26" s="86">
        <f>'[9]5.3.1 (предприятие)'!$L$10+'[9]5.3.1 (предприятие)'!$L$74</f>
        <v>5038.5</v>
      </c>
      <c r="I26" s="86">
        <f>'[9]5.3.1 (предприятие)'!$P$10+'[9]5.3.1 (предприятие)'!$P$74</f>
        <v>5038.5</v>
      </c>
      <c r="J26" s="109"/>
    </row>
    <row r="27" spans="1:16" ht="21" customHeight="1" x14ac:dyDescent="0.25">
      <c r="A27" s="52" t="s">
        <v>71</v>
      </c>
      <c r="B27" s="45"/>
      <c r="C27" s="45">
        <f>[5]Лист1!$E$126</f>
        <v>21960.85066101695</v>
      </c>
      <c r="D27" s="45">
        <f>[1]Лист1!$E$142</f>
        <v>21280.887822033899</v>
      </c>
      <c r="E27" s="90">
        <f>'[9]5.3.1 (предприятие)'!$C$12+'[9]5.3.1 (предприятие)'!$C$76</f>
        <v>26006.400000000001</v>
      </c>
      <c r="F27" s="86">
        <f>'[9]5.3.1 (предприятие)'!$D$12+'[9]5.3.1 (предприятие)'!$D$76</f>
        <v>6501.6</v>
      </c>
      <c r="G27" s="86">
        <f>'[9]5.3.1 (предприятие)'!$H$12+'[9]5.3.1 (предприятие)'!$H$76</f>
        <v>6501.6</v>
      </c>
      <c r="H27" s="86">
        <f>'[9]5.3.1 (предприятие)'!$L$12+'[9]5.3.1 (предприятие)'!$L$76</f>
        <v>6501.6</v>
      </c>
      <c r="I27" s="86">
        <f>'[9]5.3.1 (предприятие)'!$P$12+'[9]5.3.1 (предприятие)'!$P$76</f>
        <v>6501.6</v>
      </c>
      <c r="J27" s="109"/>
    </row>
    <row r="28" spans="1:16" ht="18" customHeight="1" x14ac:dyDescent="0.25">
      <c r="A28" s="52" t="s">
        <v>72</v>
      </c>
      <c r="B28" s="45"/>
      <c r="C28" s="45">
        <f>[5]Лист1!$E$186</f>
        <v>9849.4511949152547</v>
      </c>
      <c r="D28" s="45">
        <f>[1]Лист1!$E$213</f>
        <v>10111.832974576271</v>
      </c>
      <c r="E28" s="90">
        <f>'[9]5.3.1 (предприятие)'!$C$17</f>
        <v>14115.199999999999</v>
      </c>
      <c r="F28" s="86">
        <f>'[9]5.3.1 (предприятие)'!$D$17</f>
        <v>3823.2999999999997</v>
      </c>
      <c r="G28" s="86">
        <f>'[9]5.3.1 (предприятие)'!$H$17</f>
        <v>3129.7000000000003</v>
      </c>
      <c r="H28" s="86">
        <f>'[9]5.3.1 (предприятие)'!$L$17</f>
        <v>3200.3</v>
      </c>
      <c r="I28" s="86">
        <f>'[9]5.3.1 (предприятие)'!$P$17</f>
        <v>3961.8999999999996</v>
      </c>
      <c r="J28" s="109"/>
    </row>
    <row r="29" spans="1:16" ht="18" customHeight="1" x14ac:dyDescent="0.25">
      <c r="A29" s="52" t="s">
        <v>73</v>
      </c>
      <c r="B29" s="45"/>
      <c r="C29" s="45">
        <f>[5]Лист1!$E$156</f>
        <v>7352.7729576271195</v>
      </c>
      <c r="D29" s="45">
        <f>[1]Лист1!$E$178</f>
        <v>4921.6528854237295</v>
      </c>
      <c r="E29" s="90">
        <f>'[9]5.3.1 (предприятие)'!$C$13</f>
        <v>5892</v>
      </c>
      <c r="F29" s="86">
        <f>'[9]5.3.1 (предприятие)'!$D$13</f>
        <v>1458.3000000000002</v>
      </c>
      <c r="G29" s="86">
        <f>'[9]5.3.1 (предприятие)'!$H$13</f>
        <v>1458.3000000000002</v>
      </c>
      <c r="H29" s="86">
        <f>'[9]5.3.1 (предприятие)'!$L$13</f>
        <v>1487.6999999999998</v>
      </c>
      <c r="I29" s="86">
        <f>'[9]5.3.1 (предприятие)'!$P$13</f>
        <v>1487.6999999999998</v>
      </c>
      <c r="J29" s="109"/>
    </row>
    <row r="30" spans="1:16" ht="24" customHeight="1" x14ac:dyDescent="0.25">
      <c r="A30" s="52" t="s">
        <v>74</v>
      </c>
      <c r="B30" s="45"/>
      <c r="C30" s="45">
        <f>'[10]Основное производство'!$DJ$19+'[10]Основное производство'!$DJ$31+'[10]Основное производство'!$DJ$18+'[10]Основное производство'!$DJ$30</f>
        <v>33263.712686440689</v>
      </c>
      <c r="D30" s="45">
        <f>[1]Лист1!$E$233</f>
        <v>29982.647428135595</v>
      </c>
      <c r="E30" s="90">
        <f>'[9]5.3.1 (предприятие)'!$C$9</f>
        <v>35655.1</v>
      </c>
      <c r="F30" s="86">
        <f>'[9]5.3.1 (предприятие)'!$D$9</f>
        <v>8964</v>
      </c>
      <c r="G30" s="86">
        <f>'[9]5.3.1 (предприятие)'!$H$9</f>
        <v>8820.5</v>
      </c>
      <c r="H30" s="86">
        <f>'[9]5.3.1 (предприятие)'!$L$9</f>
        <v>9061.2000000000007</v>
      </c>
      <c r="I30" s="86">
        <f>'[9]5.3.1 (предприятие)'!$P$9</f>
        <v>8809.4</v>
      </c>
      <c r="J30" s="109"/>
    </row>
    <row r="31" spans="1:16" ht="24.75" customHeight="1" x14ac:dyDescent="0.25">
      <c r="A31" s="52" t="s">
        <v>75</v>
      </c>
      <c r="B31" s="52"/>
      <c r="C31" s="52"/>
      <c r="D31" s="52"/>
      <c r="E31" s="90"/>
      <c r="F31" s="86"/>
      <c r="G31" s="86"/>
      <c r="H31" s="86"/>
      <c r="I31" s="86"/>
      <c r="J31" s="109"/>
    </row>
    <row r="32" spans="1:16" ht="28.5" x14ac:dyDescent="0.25">
      <c r="A32" s="52" t="s">
        <v>10</v>
      </c>
      <c r="B32" s="52"/>
      <c r="C32" s="48">
        <f>'[10]Основное производство'!$DJ$33</f>
        <v>8148.8684576271189</v>
      </c>
      <c r="D32" s="45">
        <f>[11]выручка!$G$56/1000</f>
        <v>9934.0931101694932</v>
      </c>
      <c r="E32" s="90">
        <f>'[9]5.4.1 (предприятие)'!$C$10</f>
        <v>6837.2999999999993</v>
      </c>
      <c r="F32" s="86">
        <f>'[9]5.4.1 (предприятие)'!$D$10</f>
        <v>693</v>
      </c>
      <c r="G32" s="86">
        <f>'[9]5.4.1 (предприятие)'!$H$10</f>
        <v>1626.6999999999998</v>
      </c>
      <c r="H32" s="86">
        <f>'[9]5.4.1 (предприятие)'!$L$10</f>
        <v>2977</v>
      </c>
      <c r="I32" s="86">
        <f>'[9]5.4.1 (предприятие)'!$P$10</f>
        <v>1540.6</v>
      </c>
      <c r="J32" s="109"/>
    </row>
    <row r="33" spans="1:10" ht="57" x14ac:dyDescent="0.25">
      <c r="A33" s="52" t="s">
        <v>92</v>
      </c>
      <c r="B33" s="45" t="s">
        <v>81</v>
      </c>
      <c r="C33" s="45">
        <f>'[10]Основное производство'!$DJ$244</f>
        <v>166015.20023300001</v>
      </c>
      <c r="D33" s="45">
        <f>151324+3500</f>
        <v>154824</v>
      </c>
      <c r="E33" s="90">
        <f>'[9]5.4.1 (предприятие)'!$C$12</f>
        <v>180873.39999999997</v>
      </c>
      <c r="F33" s="90">
        <f>'[9]5.4.1 (предприятие)'!$D$12</f>
        <v>50109.499999999993</v>
      </c>
      <c r="G33" s="90">
        <f>'[9]5.4.1 (предприятие)'!$H$12</f>
        <v>39916.099999999991</v>
      </c>
      <c r="H33" s="90">
        <f>'[9]5.4.1 (предприятие)'!$L$12</f>
        <v>40031.499999999993</v>
      </c>
      <c r="I33" s="90">
        <f>'[9]5.4.1 (предприятие)'!$P$12</f>
        <v>50816.3</v>
      </c>
      <c r="J33" s="109"/>
    </row>
    <row r="34" spans="1:10" ht="28.5" x14ac:dyDescent="0.25">
      <c r="A34" s="52" t="s">
        <v>82</v>
      </c>
      <c r="B34" s="52"/>
      <c r="C34" s="48">
        <f>C33-C40</f>
        <v>159101.37386300002</v>
      </c>
      <c r="D34" s="48">
        <f>D33-D40</f>
        <v>143471.61922534934</v>
      </c>
      <c r="E34" s="90">
        <f>'[12]5.3.1 (предприятие)'!$C$20</f>
        <v>175225</v>
      </c>
      <c r="F34" s="90">
        <f>'[12]5.3.1 (предприятие)'!$D$20</f>
        <v>49741.799999999988</v>
      </c>
      <c r="G34" s="90">
        <f>'[12]5.3.1 (предприятие)'!$H$20</f>
        <v>38614.199999999997</v>
      </c>
      <c r="H34" s="90">
        <f>'[12]5.3.1 (предприятие)'!$L$20</f>
        <v>37329.800000000003</v>
      </c>
      <c r="I34" s="90">
        <f>'[12]5.3.1 (предприятие)'!$P$20</f>
        <v>49539.199999999997</v>
      </c>
      <c r="J34" s="109"/>
    </row>
    <row r="35" spans="1:10" ht="42.75" x14ac:dyDescent="0.25">
      <c r="A35" s="52" t="s">
        <v>110</v>
      </c>
      <c r="B35" s="52"/>
      <c r="C35" s="48">
        <f>('[13]12 месяцев'!$B$10-'[13]12 месяцев'!$BR$10+'[13]12 месяцев'!$B$61-'[13]12 месяцев'!$BR$61)/1000</f>
        <v>69341.077140000009</v>
      </c>
      <c r="D35" s="48">
        <f>(('[14]Свод 9 месяцев'!$X$7+'[14]10 Свод'!$X$7+'[14]11 Свод'!$X$7+8481.85156/1.18+457.87277+1846.13977/1.18+118.8946/1.18)+('[14]9 месяцев'!$B$61+[14]октябрь!$B$61+[14]ноябрь!$B$61*2))/1000</f>
        <v>64898.432775931025</v>
      </c>
      <c r="E35" s="90">
        <f>'[9]5.4.1 (предприятие)'!$C$15+'[9]5.4.1 (предприятие)'!$C$20+'[9]5.4.1 (предприятие)'!$C$21+'[9]5.4.1 (предприятие)'!$C$22+'[9]5.4.1 (предприятие)'!$C$23</f>
        <v>87543.400000000009</v>
      </c>
      <c r="F35" s="90">
        <f>'[9]5.4.1 (предприятие)'!$D$15+'[9]5.4.1 (предприятие)'!$D$20+'[9]5.4.1 (предприятие)'!$D$21+'[9]5.4.1 (предприятие)'!$D$22+'[9]5.4.1 (предприятие)'!$D$23</f>
        <v>28656</v>
      </c>
      <c r="G35" s="90">
        <f>'[9]5.4.1 (предприятие)'!$H$15+'[9]5.4.1 (предприятие)'!$H$20+'[9]5.4.1 (предприятие)'!$H$21+'[9]5.4.1 (предприятие)'!$H$22+'[9]5.4.1 (предприятие)'!$H$23</f>
        <v>16702</v>
      </c>
      <c r="H35" s="90">
        <f>'[9]5.4.1 (предприятие)'!$L$15+'[9]5.4.1 (предприятие)'!$L$20+'[9]5.4.1 (предприятие)'!$L$21+'[9]5.4.1 (предприятие)'!$L$22+'[9]5.4.1 (предприятие)'!$L$23</f>
        <v>14299.9</v>
      </c>
      <c r="I35" s="90">
        <f>'[9]5.4.1 (предприятие)'!$P$15+'[9]5.4.1 (предприятие)'!$P$20+'[9]5.4.1 (предприятие)'!$P$21+'[9]5.4.1 (предприятие)'!$P$22+'[9]5.4.1 (предприятие)'!$P$23</f>
        <v>27885.500000000004</v>
      </c>
      <c r="J35" s="109"/>
    </row>
    <row r="36" spans="1:10" ht="36" customHeight="1" x14ac:dyDescent="0.25">
      <c r="A36" s="52" t="s">
        <v>83</v>
      </c>
      <c r="B36" s="52"/>
      <c r="C36" s="48">
        <f>('[13]12 месяцев'!$B$25-'[13]12 месяцев'!$BR$25)/1000</f>
        <v>29365.733270000004</v>
      </c>
      <c r="D36" s="48">
        <f>(('[14]9 месяцев'!$B$25+[14]октябрь!$B$25+[14]ноябрь!$B$25*2)-('[14]9 месяцев'!$HR$25+[14]октябрь!$HR$25+[14]ноябрь!$HR$25*2))/1000</f>
        <v>23954.420500000004</v>
      </c>
      <c r="E36" s="90">
        <f>'[9]5.4.1 (предприятие)'!$C$27</f>
        <v>25240.199999999997</v>
      </c>
      <c r="F36" s="90">
        <f>'[9]5.4.1 (предприятие)'!$D$27</f>
        <v>6307.5</v>
      </c>
      <c r="G36" s="90">
        <f>'[9]5.4.1 (предприятие)'!$H$27</f>
        <v>6307.5</v>
      </c>
      <c r="H36" s="90">
        <f>'[9]5.4.1 (предприятие)'!$L$27</f>
        <v>6312.5999999999995</v>
      </c>
      <c r="I36" s="90">
        <f>'[9]5.4.1 (предприятие)'!$P$27</f>
        <v>6312.5999999999995</v>
      </c>
      <c r="J36" s="109"/>
    </row>
    <row r="37" spans="1:10" ht="28.5" x14ac:dyDescent="0.25">
      <c r="A37" s="52" t="s">
        <v>84</v>
      </c>
      <c r="B37" s="52"/>
      <c r="C37" s="48">
        <f>('[13]12 месяцев'!$B$26-'[13]12 месяцев'!$BR$26)/1000</f>
        <v>9841.977899999998</v>
      </c>
      <c r="D37" s="48">
        <f>(('[14]9 месяцев'!$B$26+[14]октябрь!$B$26+[14]ноябрь!$B$26*2)-('[14]9 месяцев'!$HR$26+[14]октябрь!$HR$26+[14]ноябрь!$HR$26*2))/1000</f>
        <v>6985.3201400000007</v>
      </c>
      <c r="E37" s="90">
        <f>'[9]5.4.1 (предприятие)'!$C$28</f>
        <v>7623</v>
      </c>
      <c r="F37" s="90">
        <f>'[9]5.4.1 (предприятие)'!$D$28</f>
        <v>1905</v>
      </c>
      <c r="G37" s="90">
        <f>'[9]5.4.1 (предприятие)'!$H$28</f>
        <v>1905</v>
      </c>
      <c r="H37" s="90">
        <f>'[9]5.4.1 (предприятие)'!$L$28</f>
        <v>1906.5</v>
      </c>
      <c r="I37" s="90">
        <f>'[9]5.4.1 (предприятие)'!$P$28</f>
        <v>1906.5</v>
      </c>
      <c r="J37" s="109"/>
    </row>
    <row r="38" spans="1:10" ht="17.25" customHeight="1" x14ac:dyDescent="0.25">
      <c r="A38" s="52" t="s">
        <v>85</v>
      </c>
      <c r="B38" s="52"/>
      <c r="C38" s="101">
        <f>('[13]12 месяцев'!$B$143/1000)</f>
        <v>2405.4682199999997</v>
      </c>
      <c r="D38" s="48">
        <f>(('[14]9 месяцев'!$B$143+[14]октябрь!$B$143+[14]ноябрь!$B$143*2)-('[14]9 месяцев'!$HR$143+[14]октябрь!$HR$143+[14]ноябрь!$HR$143*2))/1000</f>
        <v>2200.0298700000003</v>
      </c>
      <c r="E38" s="90">
        <f>'[9]5.4.1 (предприятие)'!$C$30</f>
        <v>2646</v>
      </c>
      <c r="F38" s="90">
        <f>'[9]5.4.1 (предприятие)'!$D$30</f>
        <v>660.90000000000009</v>
      </c>
      <c r="G38" s="90">
        <f>'[9]5.4.1 (предприятие)'!$H$30</f>
        <v>660.90000000000009</v>
      </c>
      <c r="H38" s="90">
        <f>'[9]5.4.1 (предприятие)'!$L$30</f>
        <v>662.09999999999991</v>
      </c>
      <c r="I38" s="90">
        <f>'[9]5.4.1 (предприятие)'!$P$30</f>
        <v>662.09999999999991</v>
      </c>
      <c r="J38" s="109"/>
    </row>
    <row r="39" spans="1:10" x14ac:dyDescent="0.25">
      <c r="A39" s="52" t="s">
        <v>86</v>
      </c>
      <c r="B39" s="52"/>
      <c r="C39" s="48">
        <f t="shared" ref="C39:I39" si="3">C34-C35-C36-C37-C38</f>
        <v>48147.117333000002</v>
      </c>
      <c r="D39" s="48">
        <f t="shared" si="3"/>
        <v>45433.415939418301</v>
      </c>
      <c r="E39" s="90">
        <f t="shared" si="3"/>
        <v>52172.399999999994</v>
      </c>
      <c r="F39" s="90">
        <f t="shared" si="3"/>
        <v>12212.399999999989</v>
      </c>
      <c r="G39" s="90">
        <f t="shared" si="3"/>
        <v>13038.799999999997</v>
      </c>
      <c r="H39" s="90">
        <f t="shared" si="3"/>
        <v>14148.700000000003</v>
      </c>
      <c r="I39" s="90">
        <f t="shared" si="3"/>
        <v>12772.499999999995</v>
      </c>
      <c r="J39" s="109"/>
    </row>
    <row r="40" spans="1:10" s="37" customFormat="1" ht="28.5" x14ac:dyDescent="0.25">
      <c r="A40" s="52" t="s">
        <v>11</v>
      </c>
      <c r="B40" s="52"/>
      <c r="C40" s="48">
        <f>'[13]12 месяцев'!$BR$170/1000</f>
        <v>6913.8263700000007</v>
      </c>
      <c r="D40" s="45">
        <f>('[14]9 месяцев'!$HR$170+[14]октябрь!$HR$170+[14]ноябрь!$HR$170*2)/1000</f>
        <v>11352.38077465067</v>
      </c>
      <c r="E40" s="92">
        <f>'[12]5.4.1 (предприятие)'!$C$35+'[12]5.4.1 (предприятие)'!$C$43</f>
        <v>5648.4</v>
      </c>
      <c r="F40" s="92">
        <f>'[12]5.4.1 (предприятие)'!$D$35+'[12]5.4.1 (предприятие)'!$D$43</f>
        <v>367.70000000000005</v>
      </c>
      <c r="G40" s="92">
        <f>'[12]5.4.1 (предприятие)'!$H$35+'[12]5.4.1 (предприятие)'!$H$43</f>
        <v>1301.9000000000001</v>
      </c>
      <c r="H40" s="92">
        <f>'[12]5.4.1 (предприятие)'!$L$35+'[12]5.4.1 (предприятие)'!$L$43</f>
        <v>2701.7</v>
      </c>
      <c r="I40" s="92">
        <f>'[12]5.4.1 (предприятие)'!$P$35+'[12]5.4.1 (предприятие)'!$P$43</f>
        <v>1277.1000000000001</v>
      </c>
      <c r="J40" s="112"/>
    </row>
    <row r="41" spans="1:10" s="37" customFormat="1" ht="71.25" x14ac:dyDescent="0.25">
      <c r="A41" s="52" t="s">
        <v>135</v>
      </c>
      <c r="B41" s="52" t="s">
        <v>90</v>
      </c>
      <c r="C41" s="48">
        <f>C23-C33</f>
        <v>3103.8839619152423</v>
      </c>
      <c r="D41" s="48">
        <f>D23-D33</f>
        <v>3481.0337372881186</v>
      </c>
      <c r="E41" s="48">
        <f>E24-E34</f>
        <v>1340.2000000000116</v>
      </c>
      <c r="F41" s="48">
        <f t="shared" ref="F41:I41" si="4">F24-F34</f>
        <v>1133.400000000016</v>
      </c>
      <c r="G41" s="48">
        <f t="shared" si="4"/>
        <v>331.20000000000437</v>
      </c>
      <c r="H41" s="48">
        <f t="shared" si="4"/>
        <v>-661.10000000000582</v>
      </c>
      <c r="I41" s="48">
        <f t="shared" si="4"/>
        <v>536.70000000000437</v>
      </c>
      <c r="J41" s="112"/>
    </row>
    <row r="42" spans="1:10" s="37" customFormat="1" ht="42.75" x14ac:dyDescent="0.25">
      <c r="A42" s="52" t="s">
        <v>12</v>
      </c>
      <c r="B42" s="52"/>
      <c r="C42" s="48">
        <v>690</v>
      </c>
      <c r="D42" s="52">
        <v>2050</v>
      </c>
      <c r="E42" s="90">
        <f>E23-E33</f>
        <v>2529.1000000000349</v>
      </c>
      <c r="F42" s="90">
        <f t="shared" ref="F42:I42" si="5">F23-F33</f>
        <v>1458.7000000000116</v>
      </c>
      <c r="G42" s="90">
        <f t="shared" si="5"/>
        <v>656.00000000000728</v>
      </c>
      <c r="H42" s="90">
        <f t="shared" si="5"/>
        <v>-385.79999999999563</v>
      </c>
      <c r="I42" s="90">
        <f t="shared" si="5"/>
        <v>800.19999999999709</v>
      </c>
      <c r="J42" s="112"/>
    </row>
    <row r="43" spans="1:10" s="37" customFormat="1" ht="127.5" customHeight="1" x14ac:dyDescent="0.25">
      <c r="A43" s="52" t="s">
        <v>13</v>
      </c>
      <c r="B43" s="52"/>
      <c r="C43" s="52"/>
      <c r="D43" s="52">
        <f>D44*0.1</f>
        <v>20</v>
      </c>
      <c r="E43" s="90">
        <f>E44*0.1</f>
        <v>72.910000000002043</v>
      </c>
      <c r="F43" s="86"/>
      <c r="G43" s="86"/>
      <c r="H43" s="86"/>
      <c r="I43" s="86"/>
      <c r="J43" s="112"/>
    </row>
    <row r="44" spans="1:10" s="37" customFormat="1" ht="36" customHeight="1" x14ac:dyDescent="0.25">
      <c r="A44" s="52" t="s">
        <v>14</v>
      </c>
      <c r="B44" s="64"/>
      <c r="C44" s="64">
        <v>14</v>
      </c>
      <c r="D44" s="64">
        <v>200</v>
      </c>
      <c r="E44" s="90">
        <f>SUM(F44:I44)</f>
        <v>729.10000000002037</v>
      </c>
      <c r="F44" s="86">
        <f>F42-'1.2план развития (4)'!E13</f>
        <v>1341.2000000000116</v>
      </c>
      <c r="G44" s="86">
        <f>G42-'1.2план развития (4)'!F13</f>
        <v>538.50000000000728</v>
      </c>
      <c r="H44" s="86">
        <f>H42-'1.2план развития (4)'!G13</f>
        <v>-1833.2999999999956</v>
      </c>
      <c r="I44" s="86">
        <f>I42-'1.2план развития (4)'!H13</f>
        <v>682.69999999999709</v>
      </c>
      <c r="J44" s="112"/>
    </row>
    <row r="45" spans="1:10" s="37" customFormat="1" ht="99.75" x14ac:dyDescent="0.25">
      <c r="A45" s="53" t="s">
        <v>97</v>
      </c>
      <c r="B45" s="53"/>
      <c r="C45" s="102">
        <f>[15]Лист2!$Q$201/1000*12</f>
        <v>53757.123680999997</v>
      </c>
      <c r="D45" s="103">
        <f>'[15]ШР 2012 с 30.07.2012 (2)'!$S$194*12/1000</f>
        <v>45288.456431700004</v>
      </c>
      <c r="E45" s="86">
        <f>'[16]ШР 13 для ПОТ'!$AC$173*12/1000</f>
        <v>52609.994951180219</v>
      </c>
      <c r="F45" s="86">
        <f>'[16]ШР 13 для ПОТ'!$AC$173*3/1000</f>
        <v>13152.498737795055</v>
      </c>
      <c r="G45" s="86">
        <f>'[16]ШР 13 для ПОТ'!$AC$173*3/1000</f>
        <v>13152.498737795055</v>
      </c>
      <c r="H45" s="86">
        <f>'[16]ШР 13 для ПОТ'!$AC$173*3/1000</f>
        <v>13152.498737795055</v>
      </c>
      <c r="I45" s="86">
        <f>'[16]ШР 13 для ПОТ'!$AC$173*3/1000</f>
        <v>13152.498737795055</v>
      </c>
      <c r="J45" s="112"/>
    </row>
    <row r="46" spans="1:10" ht="57" x14ac:dyDescent="0.25">
      <c r="A46" s="108" t="s">
        <v>127</v>
      </c>
      <c r="B46" s="56"/>
      <c r="C46" s="56">
        <v>293</v>
      </c>
      <c r="D46" s="56">
        <v>177</v>
      </c>
      <c r="E46" s="96">
        <v>240.35</v>
      </c>
      <c r="F46" s="96">
        <f t="shared" ref="F46:I47" si="6">E46</f>
        <v>240.35</v>
      </c>
      <c r="G46" s="96">
        <f t="shared" si="6"/>
        <v>240.35</v>
      </c>
      <c r="H46" s="96">
        <f t="shared" si="6"/>
        <v>240.35</v>
      </c>
      <c r="I46" s="96">
        <f t="shared" si="6"/>
        <v>240.35</v>
      </c>
      <c r="J46" s="109"/>
    </row>
    <row r="47" spans="1:10" x14ac:dyDescent="0.25">
      <c r="A47" s="53" t="s">
        <v>16</v>
      </c>
      <c r="B47" s="53"/>
      <c r="C47" s="53">
        <v>32</v>
      </c>
      <c r="D47" s="53">
        <v>28</v>
      </c>
      <c r="E47" s="54">
        <v>28.5</v>
      </c>
      <c r="F47" s="54">
        <f t="shared" si="6"/>
        <v>28.5</v>
      </c>
      <c r="G47" s="54">
        <f t="shared" si="6"/>
        <v>28.5</v>
      </c>
      <c r="H47" s="54">
        <f t="shared" si="6"/>
        <v>28.5</v>
      </c>
      <c r="I47" s="54">
        <f t="shared" si="6"/>
        <v>28.5</v>
      </c>
      <c r="J47" s="109"/>
    </row>
    <row r="48" spans="1:10" x14ac:dyDescent="0.25">
      <c r="A48" s="53" t="s">
        <v>17</v>
      </c>
      <c r="B48" s="53"/>
      <c r="C48" s="53">
        <f>C46-C47</f>
        <v>261</v>
      </c>
      <c r="D48" s="53">
        <f>D46-D47</f>
        <v>149</v>
      </c>
      <c r="E48" s="97">
        <f>E46-E47</f>
        <v>211.85</v>
      </c>
      <c r="F48" s="97">
        <f t="shared" ref="F48:I48" si="7">F46-F47</f>
        <v>211.85</v>
      </c>
      <c r="G48" s="97">
        <f t="shared" si="7"/>
        <v>211.85</v>
      </c>
      <c r="H48" s="97">
        <f t="shared" si="7"/>
        <v>211.85</v>
      </c>
      <c r="I48" s="97">
        <f t="shared" si="7"/>
        <v>211.85</v>
      </c>
      <c r="J48" s="109"/>
    </row>
    <row r="49" spans="1:18 16382:16382" ht="42.75" x14ac:dyDescent="0.25">
      <c r="A49" s="53" t="s">
        <v>96</v>
      </c>
      <c r="B49" s="53"/>
      <c r="C49" s="87">
        <f>C45/C46/12*1000</f>
        <v>15289.284323378839</v>
      </c>
      <c r="D49" s="87">
        <f>D45/D46/12*1000</f>
        <v>21322.248790819212</v>
      </c>
      <c r="E49" s="87">
        <f>E45/E46/12*1000</f>
        <v>18240.758252264135</v>
      </c>
      <c r="F49" s="87">
        <f>F45/F46/3*1000</f>
        <v>18240.758252264135</v>
      </c>
      <c r="G49" s="87">
        <f>G45/G46/3*1000</f>
        <v>18240.758252264135</v>
      </c>
      <c r="H49" s="87">
        <f>H45/H46/3*1000</f>
        <v>18240.758252264135</v>
      </c>
      <c r="I49" s="87">
        <f>I45/I46/3*1000</f>
        <v>18240.758252264135</v>
      </c>
      <c r="J49" s="109"/>
      <c r="XFB49" s="31"/>
    </row>
    <row r="50" spans="1:18 16382:16382" x14ac:dyDescent="0.25">
      <c r="A50" s="53" t="s">
        <v>16</v>
      </c>
      <c r="B50" s="53"/>
      <c r="C50" s="90">
        <f>([15]Лист2!$Q$16+[15]Лист2!$Q$17+[15]Лист2!$Q$18+[15]Лист2!$Q$19+[15]Лист2!$Q$20+[15]Лист2!$Q$27+[15]Лист2!$Q$28+[15]Лист2!$Q$29+[15]Лист2!$Q$33+[15]Лист2!$Q$41+[15]Лист2!$Q$42+[15]Лист2!$Q$45+[15]Лист2!$Q$48+[15]Лист2!$Q$49+[15]Лист2!$Q$50+[15]Лист2!$Q$51+[15]Лист2!$Q$68+[15]Лист2!$Q$70+[15]Лист2!$Q$80+[15]Лист2!$Q$90+[15]Лист2!$Q$100+[15]Лист2!$Q$101+[15]Лист2!$Q$121+[15]Лист2!$Q$125+[15]Лист2!$Q$132)/C47</f>
        <v>28771.835625</v>
      </c>
      <c r="D50" s="90">
        <f>('[15]ШР 2012 с 30.07.2012 (2)'!$S$15+'[15]ШР 2012 с 30.07.2012 (2)'!$S$16+'[15]ШР 2012 с 30.07.2012 (2)'!$S$17+'[15]ШР 2012 с 30.07.2012 (2)'!$S$18+'[15]ШР 2012 с 30.07.2012 (2)'!$S$19+'[15]ШР 2012 с 30.07.2012 (2)'!$S$25+'[15]ШР 2012 с 30.07.2012 (2)'!$S$26+'[15]ШР 2012 с 30.07.2012 (2)'!$S$27+'[15]ШР 2012 с 30.07.2012 (2)'!$S$35+'[15]ШР 2012 с 30.07.2012 (2)'!$S$36+'[15]ШР 2012 с 30.07.2012 (2)'!$S$35+'[15]ШР 2012 с 30.07.2012 (2)'!$S$36+'[15]ШР 2012 с 30.07.2012 (2)'!$S$40+'[15]ШР 2012 с 30.07.2012 (2)'!$S$41+'[15]ШР 2012 с 30.07.2012 (2)'!$S$42+'[15]ШР 2012 с 30.07.2012 (2)'!$S$46+'[15]ШР 2012 с 30.07.2012 (2)'!$S$61+'[15]ШР 2012 с 30.07.2012 (2)'!$S$62+'[15]ШР 2012 с 30.07.2012 (2)'!$S$78+'[15]ШР 2012 с 30.07.2012 (2)'!$S$94+'[15]ШР 2012 с 30.07.2012 (2)'!$S$105+'[15]ШР 2012 с 30.07.2012 (2)'!$S$116+'[15]ШР 2012 с 30.07.2012 (2)'!$S$118+'[15]ШР 2012 с 30.07.2012 (2)'!$S$131+'[15]ШР 2012 с 30.07.2012 (2)'!$S$132+'[15]ШР 2012 с 30.07.2012 (2)'!$S$140+'[15]ШР 2012 с 30.07.2012 (2)'!$S$175+'[15]ШР 2012 с 30.07.2012 (2)'!$S$183)/D47</f>
        <v>35026.571035714289</v>
      </c>
      <c r="E50" s="88">
        <f>('[17]ШР 13 для ПОТ'!$AC$11+'[17]ШР 13 для ПОТ'!$AC$12+'[17]ШР 13 для ПОТ'!$AC$13+'[17]ШР 13 для ПОТ'!$AC$14+'[17]ШР 13 для ПОТ'!$AC$15+'[17]ШР 13 для ПОТ'!$AC$16+'[17]ШР 13 для ПОТ'!$AC$17+'[17]ШР 13 для ПОТ'!$AC$18+'[17]ШР 13 для ПОТ'!$AC$23+'[17]ШР 13 для ПОТ'!$AC$24+'[17]ШР 13 для ПОТ'!$AC$25+'[17]ШР 13 для ПОТ'!$AC$26+'[17]ШР 13 для ПОТ'!$AC$28+'[17]ШР 13 для ПОТ'!$AC$33+'[17]ШР 13 для ПОТ'!$AC$36+'[17]ШР 13 для ПОТ'!$AC$37+'[17]ШР 13 для ПОТ'!$AC$40+'[17]ШР 13 для ПОТ'!$AC$55+'[17]ШР 13 для ПОТ'!$AC$71+'[17]ШР 13 для ПОТ'!$AC$98+'[17]ШР 13 для ПОТ'!$AC$108+'[17]ШР 13 для ПОТ'!$AC$109+'[17]ШР 13 для ПОТ'!$AC$120+'[17]ШР 13 для ПОТ'!$AC$121+'[17]ШР 13 для ПОТ'!$AC$128)/E47</f>
        <v>37582.18914473684</v>
      </c>
      <c r="F50" s="88">
        <f>('[17]ШР 13 для ПОТ'!$AC$11+'[17]ШР 13 для ПОТ'!$AC$12+'[17]ШР 13 для ПОТ'!$AC$13+'[17]ШР 13 для ПОТ'!$AC$14+'[17]ШР 13 для ПОТ'!$AC$15+'[17]ШР 13 для ПОТ'!$AC$16+'[17]ШР 13 для ПОТ'!$AC$17+'[17]ШР 13 для ПОТ'!$AC$18+'[17]ШР 13 для ПОТ'!$AC$23+'[17]ШР 13 для ПОТ'!$AC$24+'[17]ШР 13 для ПОТ'!$AC$25+'[17]ШР 13 для ПОТ'!$AC$26+'[17]ШР 13 для ПОТ'!$AC$28+'[17]ШР 13 для ПОТ'!$AC$33+'[17]ШР 13 для ПОТ'!$AC$36+'[17]ШР 13 для ПОТ'!$AC$37+'[17]ШР 13 для ПОТ'!$AC$40+'[17]ШР 13 для ПОТ'!$AC$55+'[17]ШР 13 для ПОТ'!$AC$71+'[17]ШР 13 для ПОТ'!$AC$98+'[17]ШР 13 для ПОТ'!$AC$108+'[17]ШР 13 для ПОТ'!$AC$109+'[17]ШР 13 для ПОТ'!$AC$120+'[17]ШР 13 для ПОТ'!$AC$121+'[17]ШР 13 для ПОТ'!$AC$128)/F47</f>
        <v>37582.18914473684</v>
      </c>
      <c r="G50" s="88">
        <f>('[17]ШР 13 для ПОТ'!$AC$11+'[17]ШР 13 для ПОТ'!$AC$12+'[17]ШР 13 для ПОТ'!$AC$13+'[17]ШР 13 для ПОТ'!$AC$14+'[17]ШР 13 для ПОТ'!$AC$15+'[17]ШР 13 для ПОТ'!$AC$16+'[17]ШР 13 для ПОТ'!$AC$17+'[17]ШР 13 для ПОТ'!$AC$18+'[17]ШР 13 для ПОТ'!$AC$23+'[17]ШР 13 для ПОТ'!$AC$24+'[17]ШР 13 для ПОТ'!$AC$25+'[17]ШР 13 для ПОТ'!$AC$26+'[17]ШР 13 для ПОТ'!$AC$28+'[17]ШР 13 для ПОТ'!$AC$33+'[17]ШР 13 для ПОТ'!$AC$36+'[17]ШР 13 для ПОТ'!$AC$37+'[17]ШР 13 для ПОТ'!$AC$40+'[17]ШР 13 для ПОТ'!$AC$55+'[17]ШР 13 для ПОТ'!$AC$71+'[17]ШР 13 для ПОТ'!$AC$98+'[17]ШР 13 для ПОТ'!$AC$108+'[17]ШР 13 для ПОТ'!$AC$109+'[17]ШР 13 для ПОТ'!$AC$120+'[17]ШР 13 для ПОТ'!$AC$121+'[17]ШР 13 для ПОТ'!$AC$128)/G47</f>
        <v>37582.18914473684</v>
      </c>
      <c r="H50" s="88">
        <f>('[17]ШР 13 для ПОТ'!$AC$11+'[17]ШР 13 для ПОТ'!$AC$12+'[17]ШР 13 для ПОТ'!$AC$13+'[17]ШР 13 для ПОТ'!$AC$14+'[17]ШР 13 для ПОТ'!$AC$15+'[17]ШР 13 для ПОТ'!$AC$16+'[17]ШР 13 для ПОТ'!$AC$17+'[17]ШР 13 для ПОТ'!$AC$18+'[17]ШР 13 для ПОТ'!$AC$23+'[17]ШР 13 для ПОТ'!$AC$24+'[17]ШР 13 для ПОТ'!$AC$25+'[17]ШР 13 для ПОТ'!$AC$26+'[17]ШР 13 для ПОТ'!$AC$28+'[17]ШР 13 для ПОТ'!$AC$33+'[17]ШР 13 для ПОТ'!$AC$36+'[17]ШР 13 для ПОТ'!$AC$37+'[17]ШР 13 для ПОТ'!$AC$40+'[17]ШР 13 для ПОТ'!$AC$55+'[17]ШР 13 для ПОТ'!$AC$71+'[17]ШР 13 для ПОТ'!$AC$98+'[17]ШР 13 для ПОТ'!$AC$108+'[17]ШР 13 для ПОТ'!$AC$109+'[17]ШР 13 для ПОТ'!$AC$120+'[17]ШР 13 для ПОТ'!$AC$121+'[17]ШР 13 для ПОТ'!$AC$128)/H47</f>
        <v>37582.18914473684</v>
      </c>
      <c r="I50" s="88">
        <f>('[17]ШР 13 для ПОТ'!$AC$11+'[17]ШР 13 для ПОТ'!$AC$12+'[17]ШР 13 для ПОТ'!$AC$13+'[17]ШР 13 для ПОТ'!$AC$14+'[17]ШР 13 для ПОТ'!$AC$15+'[17]ШР 13 для ПОТ'!$AC$16+'[17]ШР 13 для ПОТ'!$AC$17+'[17]ШР 13 для ПОТ'!$AC$18+'[17]ШР 13 для ПОТ'!$AC$23+'[17]ШР 13 для ПОТ'!$AC$24+'[17]ШР 13 для ПОТ'!$AC$25+'[17]ШР 13 для ПОТ'!$AC$26+'[17]ШР 13 для ПОТ'!$AC$28+'[17]ШР 13 для ПОТ'!$AC$33+'[17]ШР 13 для ПОТ'!$AC$36+'[17]ШР 13 для ПОТ'!$AC$37+'[17]ШР 13 для ПОТ'!$AC$40+'[17]ШР 13 для ПОТ'!$AC$55+'[17]ШР 13 для ПОТ'!$AC$71+'[17]ШР 13 для ПОТ'!$AC$98+'[17]ШР 13 для ПОТ'!$AC$108+'[17]ШР 13 для ПОТ'!$AC$109+'[17]ШР 13 для ПОТ'!$AC$120+'[17]ШР 13 для ПОТ'!$AC$121+'[17]ШР 13 для ПОТ'!$AC$128)/I47</f>
        <v>37582.18914473684</v>
      </c>
      <c r="J50" s="113"/>
    </row>
    <row r="51" spans="1:18 16382:16382" x14ac:dyDescent="0.25">
      <c r="A51" s="53" t="s">
        <v>17</v>
      </c>
      <c r="B51" s="53"/>
      <c r="C51" s="88">
        <f>(C45-(C50/1000*C47))/C48/12*1000</f>
        <v>16869.867477969347</v>
      </c>
      <c r="D51" s="88">
        <f>(D45-(D50/1000*D47))/D48/12*1000</f>
        <v>24780.599800167787</v>
      </c>
      <c r="E51" s="88">
        <f>(E45-(E50/1000*E47))/E48/12*1000</f>
        <v>20273.34692807616</v>
      </c>
      <c r="F51" s="88">
        <f>('[18]ШР 13 для ПОТ'!$AD$174-'[18]ШР 13 для ПОТ'!$AD$52+'[18]ШР 13 для ПОТ'!$AD$55+'[18]ШР 13 для ПОТ'!$AD$56+'[18]ШР 13 для ПОТ'!$AD$71+'[18]ШР 13 для ПОТ'!$AD$72+'[18]ШР 13 для ПОТ'!$AD$113+'[18]ШР 13 для ПОТ'!$AD$128+'[18]ШР 13 для ПОТ'!$AD$129)/F48</f>
        <v>17099.718330306518</v>
      </c>
      <c r="G51" s="88">
        <f>('[18]ШР 13 для ПОТ'!$AD$174-'[18]ШР 13 для ПОТ'!$AD$52+'[18]ШР 13 для ПОТ'!$AD$55+'[18]ШР 13 для ПОТ'!$AD$56+'[18]ШР 13 для ПОТ'!$AD$71+'[18]ШР 13 для ПОТ'!$AD$72+'[18]ШР 13 для ПОТ'!$AD$113+'[18]ШР 13 для ПОТ'!$AD$128+'[18]ШР 13 для ПОТ'!$AD$129)/G48</f>
        <v>17099.718330306518</v>
      </c>
      <c r="H51" s="88">
        <f>('[18]ШР 13 для ПОТ'!$AD$174-'[18]ШР 13 для ПОТ'!$AD$52+'[18]ШР 13 для ПОТ'!$AD$55+'[18]ШР 13 для ПОТ'!$AD$56+'[18]ШР 13 для ПОТ'!$AD$71+'[18]ШР 13 для ПОТ'!$AD$72+'[18]ШР 13 для ПОТ'!$AD$113+'[18]ШР 13 для ПОТ'!$AD$128+'[18]ШР 13 для ПОТ'!$AD$129)/H48</f>
        <v>17099.718330306518</v>
      </c>
      <c r="I51" s="88">
        <f>('[18]ШР 13 для ПОТ'!$AD$174-'[18]ШР 13 для ПОТ'!$AD$52+'[18]ШР 13 для ПОТ'!$AD$55+'[18]ШР 13 для ПОТ'!$AD$56+'[18]ШР 13 для ПОТ'!$AD$71+'[18]ШР 13 для ПОТ'!$AD$72+'[18]ШР 13 для ПОТ'!$AD$113+'[18]ШР 13 для ПОТ'!$AD$128+'[18]ШР 13 для ПОТ'!$AD$129)/I48</f>
        <v>17099.718330306518</v>
      </c>
      <c r="J51" s="109"/>
      <c r="M51" s="106"/>
    </row>
    <row r="52" spans="1:18 16382:16382" ht="71.25" x14ac:dyDescent="0.25">
      <c r="A52" s="52" t="s">
        <v>95</v>
      </c>
      <c r="B52" s="59"/>
      <c r="C52" s="46">
        <v>2134</v>
      </c>
      <c r="D52" s="46">
        <f>1880+3405</f>
        <v>5285</v>
      </c>
      <c r="E52" s="92">
        <f>'1.2план развития (4)'!D18</f>
        <v>3375</v>
      </c>
      <c r="F52" s="54">
        <v>0</v>
      </c>
      <c r="G52" s="54">
        <v>0</v>
      </c>
      <c r="H52" s="54">
        <v>0</v>
      </c>
      <c r="I52" s="54">
        <f>'1.2план развития (4)'!H18</f>
        <v>3375</v>
      </c>
      <c r="J52" s="109"/>
      <c r="R52" s="105"/>
    </row>
    <row r="53" spans="1:18 16382:16382" ht="71.25" x14ac:dyDescent="0.25">
      <c r="A53" s="52" t="s">
        <v>18</v>
      </c>
      <c r="B53" s="52"/>
      <c r="C53" s="93">
        <f>E53</f>
        <v>0.66949000000000003</v>
      </c>
      <c r="D53" s="93">
        <f>E53</f>
        <v>0.66949000000000003</v>
      </c>
      <c r="E53" s="93">
        <v>0.66949000000000003</v>
      </c>
      <c r="F53" s="94">
        <v>0.16737250000000001</v>
      </c>
      <c r="G53" s="94">
        <v>0.16737250000000001</v>
      </c>
      <c r="H53" s="94">
        <v>0.16737250000000001</v>
      </c>
      <c r="I53" s="94">
        <v>0.16737250000000001</v>
      </c>
      <c r="J53" s="109"/>
    </row>
    <row r="54" spans="1:18 16382:16382" ht="28.5" x14ac:dyDescent="0.25">
      <c r="A54" s="52" t="s">
        <v>19</v>
      </c>
      <c r="B54" s="52"/>
      <c r="C54" s="52">
        <v>76757</v>
      </c>
      <c r="D54" s="53">
        <v>73348</v>
      </c>
      <c r="E54" s="53">
        <f>73348-1500</f>
        <v>71848</v>
      </c>
      <c r="F54" s="54"/>
      <c r="G54" s="54"/>
      <c r="H54" s="54"/>
      <c r="I54" s="54"/>
      <c r="J54" s="109"/>
    </row>
    <row r="55" spans="1:18 16382:16382" ht="42.75" x14ac:dyDescent="0.25">
      <c r="A55" s="52" t="s">
        <v>20</v>
      </c>
      <c r="B55" s="52"/>
      <c r="C55" s="95">
        <f t="shared" ref="C55:I55" si="8">C41/(C23+C33)</f>
        <v>9.2616127508818435E-3</v>
      </c>
      <c r="D55" s="95">
        <f t="shared" si="8"/>
        <v>1.1116930601231532E-2</v>
      </c>
      <c r="E55" s="95">
        <f t="shared" si="8"/>
        <v>3.679079510887247E-3</v>
      </c>
      <c r="F55" s="95">
        <f t="shared" si="8"/>
        <v>1.1146986999115991E-2</v>
      </c>
      <c r="G55" s="95">
        <f t="shared" si="8"/>
        <v>4.1148888905455016E-3</v>
      </c>
      <c r="H55" s="95">
        <f t="shared" si="8"/>
        <v>-8.2972293203075146E-3</v>
      </c>
      <c r="I55" s="95">
        <f t="shared" si="8"/>
        <v>5.2395326496981857E-3</v>
      </c>
      <c r="J55" s="109"/>
    </row>
    <row r="56" spans="1:18 16382:16382" ht="71.25" x14ac:dyDescent="0.25">
      <c r="A56" s="52" t="s">
        <v>93</v>
      </c>
      <c r="B56" s="52"/>
      <c r="C56" s="52">
        <f>[19]Прил3!$D$10</f>
        <v>18305</v>
      </c>
      <c r="D56" s="52">
        <v>19150</v>
      </c>
      <c r="E56" s="54">
        <v>24215</v>
      </c>
      <c r="F56" s="54">
        <v>25267</v>
      </c>
      <c r="G56" s="54">
        <v>23900</v>
      </c>
      <c r="H56" s="54">
        <v>22280</v>
      </c>
      <c r="I56" s="54">
        <v>24215</v>
      </c>
      <c r="J56" s="109"/>
    </row>
    <row r="57" spans="1:18 16382:16382" ht="57" x14ac:dyDescent="0.25">
      <c r="A57" s="52" t="s">
        <v>94</v>
      </c>
      <c r="B57" s="52"/>
      <c r="C57" s="52">
        <v>14849</v>
      </c>
      <c r="D57" s="52">
        <v>17000</v>
      </c>
      <c r="E57" s="54">
        <v>18850</v>
      </c>
      <c r="F57" s="54">
        <v>19250</v>
      </c>
      <c r="G57" s="54">
        <v>19600</v>
      </c>
      <c r="H57" s="54">
        <v>13850</v>
      </c>
      <c r="I57" s="54">
        <v>18850</v>
      </c>
      <c r="J57" s="109"/>
    </row>
    <row r="58" spans="1:18 16382:16382" x14ac:dyDescent="0.25">
      <c r="A58" s="117" t="s">
        <v>136</v>
      </c>
      <c r="B58" s="52"/>
      <c r="C58" s="52"/>
      <c r="D58" s="52"/>
      <c r="E58" s="54"/>
      <c r="F58" s="54"/>
      <c r="G58" s="54"/>
      <c r="H58" s="54"/>
      <c r="I58" s="54"/>
      <c r="J58" s="109"/>
    </row>
    <row r="59" spans="1:18 16382:16382" x14ac:dyDescent="0.25">
      <c r="A59" s="52" t="s">
        <v>21</v>
      </c>
      <c r="B59" s="52"/>
      <c r="C59" s="52">
        <v>6607</v>
      </c>
      <c r="D59" s="45">
        <v>8917.1175877896785</v>
      </c>
      <c r="E59" s="45">
        <v>9913.2032046557524</v>
      </c>
      <c r="F59" s="87">
        <v>11956.300268096515</v>
      </c>
      <c r="G59" s="87">
        <v>10547.669139630163</v>
      </c>
      <c r="H59" s="97">
        <v>5210.9276153692481</v>
      </c>
      <c r="I59" s="97">
        <v>9913.2032046557524</v>
      </c>
      <c r="J59" s="109"/>
    </row>
    <row r="60" spans="1:18 16382:16382" x14ac:dyDescent="0.25">
      <c r="A60" s="52" t="s">
        <v>22</v>
      </c>
      <c r="B60" s="52"/>
      <c r="C60" s="52">
        <v>3723</v>
      </c>
      <c r="D60" s="45">
        <v>3739.1499048400938</v>
      </c>
      <c r="E60" s="45">
        <v>4143.5697164463199</v>
      </c>
      <c r="F60" s="87">
        <v>2967.9624664879357</v>
      </c>
      <c r="G60" s="87">
        <v>4408.9691064112503</v>
      </c>
      <c r="H60" s="87">
        <v>4207.4781913830993</v>
      </c>
      <c r="I60" s="97">
        <v>4143.5697164463199</v>
      </c>
      <c r="J60" s="109"/>
    </row>
    <row r="61" spans="1:18 16382:16382" ht="28.5" x14ac:dyDescent="0.25">
      <c r="A61" s="52" t="s">
        <v>109</v>
      </c>
      <c r="B61" s="52"/>
      <c r="C61" s="52">
        <v>1769</v>
      </c>
      <c r="D61" s="45">
        <v>3641.8266251825003</v>
      </c>
      <c r="E61" s="45">
        <v>3068.9163721521795</v>
      </c>
      <c r="F61" s="45">
        <v>3068.9163721521795</v>
      </c>
      <c r="G61" s="45">
        <v>3068.9163721521795</v>
      </c>
      <c r="H61" s="45">
        <v>3068.9163721521795</v>
      </c>
      <c r="I61" s="45">
        <v>3068.9163721521795</v>
      </c>
      <c r="J61" s="109"/>
    </row>
    <row r="64" spans="1:18 16382:16382" x14ac:dyDescent="0.25">
      <c r="C64" s="118"/>
      <c r="D64" s="119"/>
    </row>
    <row r="65" spans="3:8" customFormat="1" x14ac:dyDescent="0.25">
      <c r="C65" s="118"/>
      <c r="D65" s="119"/>
      <c r="F65" s="42"/>
      <c r="G65" s="42"/>
      <c r="H65" s="42"/>
    </row>
    <row r="66" spans="3:8" customFormat="1" x14ac:dyDescent="0.25">
      <c r="H66" s="120"/>
    </row>
    <row r="67" spans="3:8" customFormat="1" x14ac:dyDescent="0.25">
      <c r="H67" s="120"/>
    </row>
  </sheetData>
  <mergeCells count="10">
    <mergeCell ref="J11:J13"/>
    <mergeCell ref="E1:F1"/>
    <mergeCell ref="E2:I2"/>
    <mergeCell ref="A10:I10"/>
    <mergeCell ref="A11:A13"/>
    <mergeCell ref="B11:B13"/>
    <mergeCell ref="E11:E13"/>
    <mergeCell ref="F11:I12"/>
    <mergeCell ref="C11:C13"/>
    <mergeCell ref="D11:D13"/>
  </mergeCells>
  <pageMargins left="0.11811023622047245" right="0.11811023622047245" top="0.15748031496062992" bottom="0.15748031496062992" header="0.31496062992125984" footer="0.31496062992125984"/>
  <pageSetup paperSize="9" scale="10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F30"/>
  <sheetViews>
    <sheetView workbookViewId="0">
      <selection activeCell="B13" sqref="B13"/>
    </sheetView>
  </sheetViews>
  <sheetFormatPr defaultRowHeight="15" x14ac:dyDescent="0.25"/>
  <cols>
    <col min="1" max="1" width="42.7109375" customWidth="1"/>
    <col min="2" max="2" width="12.140625" customWidth="1"/>
  </cols>
  <sheetData>
    <row r="2" spans="1:6" ht="16.5" x14ac:dyDescent="0.25">
      <c r="A2" s="125" t="s">
        <v>26</v>
      </c>
      <c r="B2" s="125"/>
      <c r="C2" s="125"/>
      <c r="D2" s="125"/>
      <c r="E2" s="125"/>
      <c r="F2" s="125"/>
    </row>
    <row r="3" spans="1:6" ht="15.75" customHeight="1" x14ac:dyDescent="0.25">
      <c r="A3" s="126" t="s">
        <v>23</v>
      </c>
      <c r="B3" s="127" t="s">
        <v>2</v>
      </c>
      <c r="C3" s="126" t="s">
        <v>3</v>
      </c>
      <c r="D3" s="126"/>
      <c r="E3" s="126"/>
      <c r="F3" s="126"/>
    </row>
    <row r="4" spans="1:6" ht="33" customHeight="1" x14ac:dyDescent="0.25">
      <c r="A4" s="126"/>
      <c r="B4" s="127"/>
      <c r="C4" s="84" t="s">
        <v>6</v>
      </c>
      <c r="D4" s="84" t="s">
        <v>7</v>
      </c>
      <c r="E4" s="84" t="s">
        <v>7</v>
      </c>
      <c r="F4" s="84" t="s">
        <v>8</v>
      </c>
    </row>
    <row r="5" spans="1:6" ht="16.5" x14ac:dyDescent="0.25">
      <c r="A5" s="84">
        <v>1</v>
      </c>
      <c r="B5" s="84">
        <v>5</v>
      </c>
      <c r="C5" s="84">
        <v>6</v>
      </c>
      <c r="D5" s="84">
        <v>7</v>
      </c>
      <c r="E5" s="84">
        <v>8</v>
      </c>
      <c r="F5" s="84">
        <v>9</v>
      </c>
    </row>
    <row r="6" spans="1:6" ht="18.75" customHeight="1" x14ac:dyDescent="0.25">
      <c r="A6" s="66" t="s">
        <v>112</v>
      </c>
      <c r="B6" s="74">
        <f>B7+B8+B9</f>
        <v>5175.1000000000349</v>
      </c>
      <c r="C6" s="67"/>
      <c r="D6" s="67"/>
      <c r="E6" s="67"/>
      <c r="F6" s="67"/>
    </row>
    <row r="7" spans="1:6" ht="18.75" customHeight="1" x14ac:dyDescent="0.25">
      <c r="A7" s="68" t="s">
        <v>113</v>
      </c>
      <c r="B7" s="89">
        <f>'[9]5.4.1 (предприятие)'!$C$37</f>
        <v>2529.1000000000349</v>
      </c>
      <c r="C7" s="67"/>
      <c r="D7" s="67"/>
      <c r="E7" s="67"/>
      <c r="F7" s="67"/>
    </row>
    <row r="8" spans="1:6" ht="18.75" customHeight="1" x14ac:dyDescent="0.25">
      <c r="A8" s="68" t="s">
        <v>114</v>
      </c>
      <c r="B8" s="71">
        <f>'[9]5.4.1 (предприятие)'!$C$30</f>
        <v>2646</v>
      </c>
      <c r="C8" s="67"/>
      <c r="D8" s="67"/>
      <c r="E8" s="67"/>
      <c r="F8" s="67"/>
    </row>
    <row r="9" spans="1:6" ht="18.75" customHeight="1" x14ac:dyDescent="0.25">
      <c r="A9" s="68" t="s">
        <v>115</v>
      </c>
      <c r="B9" s="85"/>
      <c r="C9" s="85"/>
      <c r="D9" s="85"/>
      <c r="E9" s="85"/>
      <c r="F9" s="85"/>
    </row>
    <row r="10" spans="1:6" ht="18.75" customHeight="1" x14ac:dyDescent="0.25">
      <c r="A10" s="69" t="s">
        <v>111</v>
      </c>
      <c r="B10" s="85">
        <v>0</v>
      </c>
      <c r="C10" s="85"/>
      <c r="D10" s="85"/>
      <c r="E10" s="85"/>
      <c r="F10" s="85"/>
    </row>
    <row r="11" spans="1:6" ht="18.75" customHeight="1" x14ac:dyDescent="0.25">
      <c r="A11" s="69" t="s">
        <v>25</v>
      </c>
      <c r="B11" s="85">
        <v>0</v>
      </c>
      <c r="C11" s="85"/>
      <c r="D11" s="85"/>
      <c r="E11" s="85"/>
      <c r="F11" s="85"/>
    </row>
    <row r="12" spans="1:6" ht="24" customHeight="1" x14ac:dyDescent="0.25">
      <c r="A12" s="67" t="s">
        <v>120</v>
      </c>
      <c r="B12" s="74">
        <f>SUM(B13:B18)</f>
        <v>1980.6500000000069</v>
      </c>
      <c r="C12" s="67"/>
      <c r="D12" s="67"/>
      <c r="E12" s="67"/>
      <c r="F12" s="67"/>
    </row>
    <row r="13" spans="1:6" ht="33" customHeight="1" x14ac:dyDescent="0.25">
      <c r="A13" s="85" t="s">
        <v>121</v>
      </c>
      <c r="B13" s="75">
        <f>'1.1план фхд (3)'!E42*20%+474.83</f>
        <v>980.65000000000691</v>
      </c>
      <c r="C13" s="67"/>
      <c r="D13" s="67"/>
      <c r="E13" s="67"/>
      <c r="F13" s="67"/>
    </row>
    <row r="14" spans="1:6" ht="20.25" customHeight="1" x14ac:dyDescent="0.25">
      <c r="A14" s="85" t="s">
        <v>119</v>
      </c>
      <c r="B14" s="67"/>
      <c r="C14" s="67"/>
      <c r="D14" s="67"/>
      <c r="E14" s="67"/>
      <c r="F14" s="67"/>
    </row>
    <row r="15" spans="1:6" ht="52.5" customHeight="1" x14ac:dyDescent="0.25">
      <c r="A15" s="85" t="s">
        <v>122</v>
      </c>
      <c r="B15" s="85"/>
      <c r="C15" s="85"/>
      <c r="D15" s="85"/>
      <c r="E15" s="85"/>
      <c r="F15" s="85"/>
    </row>
    <row r="16" spans="1:6" ht="24" customHeight="1" x14ac:dyDescent="0.25">
      <c r="A16" s="70" t="s">
        <v>118</v>
      </c>
      <c r="B16" s="85"/>
      <c r="C16" s="85"/>
      <c r="D16" s="85"/>
      <c r="E16" s="85"/>
      <c r="F16" s="85"/>
    </row>
    <row r="17" spans="1:6" ht="24" customHeight="1" x14ac:dyDescent="0.25">
      <c r="A17" s="70" t="s">
        <v>117</v>
      </c>
      <c r="B17" s="85"/>
      <c r="C17" s="85"/>
      <c r="D17" s="85"/>
      <c r="E17" s="85"/>
      <c r="F17" s="85"/>
    </row>
    <row r="18" spans="1:6" ht="24" customHeight="1" x14ac:dyDescent="0.25">
      <c r="A18" s="70" t="s">
        <v>116</v>
      </c>
      <c r="B18" s="71">
        <v>1000</v>
      </c>
      <c r="C18" s="85"/>
      <c r="D18" s="85"/>
      <c r="E18" s="85"/>
      <c r="F18" s="85"/>
    </row>
    <row r="19" spans="1:6" s="77" customFormat="1" ht="16.5" x14ac:dyDescent="0.25">
      <c r="A19" s="76"/>
    </row>
    <row r="20" spans="1:6" ht="16.5" x14ac:dyDescent="0.25">
      <c r="A20" s="14" t="s">
        <v>124</v>
      </c>
      <c r="B20" s="15" t="s">
        <v>123</v>
      </c>
      <c r="C20" s="15"/>
    </row>
    <row r="21" spans="1:6" x14ac:dyDescent="0.25">
      <c r="A21" s="12" t="s">
        <v>37</v>
      </c>
      <c r="B21" s="13" t="s">
        <v>39</v>
      </c>
      <c r="C21" s="13"/>
      <c r="D21" s="13"/>
    </row>
    <row r="22" spans="1:6" ht="16.5" x14ac:dyDescent="0.25">
      <c r="A22" s="11"/>
    </row>
    <row r="23" spans="1:6" ht="16.5" x14ac:dyDescent="0.25">
      <c r="A23" s="11"/>
    </row>
    <row r="24" spans="1:6" ht="16.5" x14ac:dyDescent="0.25">
      <c r="A24" s="11" t="s">
        <v>33</v>
      </c>
    </row>
    <row r="25" spans="1:6" ht="16.5" x14ac:dyDescent="0.25">
      <c r="A25" s="11"/>
    </row>
    <row r="26" spans="1:6" ht="16.5" x14ac:dyDescent="0.25">
      <c r="A26" s="11"/>
    </row>
    <row r="27" spans="1:6" ht="16.5" x14ac:dyDescent="0.25">
      <c r="A27" s="11" t="s">
        <v>34</v>
      </c>
    </row>
    <row r="28" spans="1:6" ht="16.5" x14ac:dyDescent="0.25">
      <c r="A28" s="14"/>
      <c r="B28" s="15"/>
      <c r="C28" s="15"/>
    </row>
    <row r="29" spans="1:6" x14ac:dyDescent="0.25">
      <c r="A29" s="12" t="s">
        <v>37</v>
      </c>
      <c r="B29" s="13" t="s">
        <v>39</v>
      </c>
      <c r="C29" s="13"/>
      <c r="D29" s="13"/>
    </row>
    <row r="30" spans="1:6" ht="16.5" x14ac:dyDescent="0.25">
      <c r="A30" s="11" t="s">
        <v>33</v>
      </c>
    </row>
  </sheetData>
  <mergeCells count="4">
    <mergeCell ref="A2:F2"/>
    <mergeCell ref="A3:A4"/>
    <mergeCell ref="B3:B4"/>
    <mergeCell ref="C3:F3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XEY67"/>
  <sheetViews>
    <sheetView topLeftCell="A10" zoomScale="85" zoomScaleNormal="85" workbookViewId="0">
      <pane xSplit="2" ySplit="4" topLeftCell="C14" activePane="bottomRight" state="frozen"/>
      <selection activeCell="A10" sqref="A10"/>
      <selection pane="topRight" activeCell="E10" sqref="E10"/>
      <selection pane="bottomLeft" activeCell="A14" sqref="A14"/>
      <selection pane="bottomRight" activeCell="E22" sqref="E22"/>
    </sheetView>
  </sheetViews>
  <sheetFormatPr defaultRowHeight="15" x14ac:dyDescent="0.25"/>
  <cols>
    <col min="1" max="1" width="28" customWidth="1"/>
    <col min="2" max="2" width="11.85546875" customWidth="1"/>
    <col min="3" max="3" width="17.42578125" customWidth="1"/>
    <col min="4" max="4" width="11.140625" style="42" customWidth="1"/>
    <col min="5" max="5" width="16" style="42" customWidth="1"/>
    <col min="6" max="6" width="12.85546875" style="42" customWidth="1"/>
    <col min="7" max="7" width="11.140625" style="42" customWidth="1"/>
    <col min="9" max="9" width="20.7109375" customWidth="1"/>
    <col min="10" max="10" width="13.42578125" bestFit="1" customWidth="1"/>
    <col min="11" max="11" width="9.7109375" bestFit="1" customWidth="1"/>
    <col min="12" max="12" width="13.42578125" bestFit="1" customWidth="1"/>
    <col min="13" max="13" width="12.28515625" bestFit="1" customWidth="1"/>
  </cols>
  <sheetData>
    <row r="1" spans="1:7" ht="15" customHeight="1" x14ac:dyDescent="0.25">
      <c r="C1" s="122" t="s">
        <v>28</v>
      </c>
      <c r="D1" s="122"/>
    </row>
    <row r="2" spans="1:7" ht="83.25" customHeight="1" x14ac:dyDescent="0.25">
      <c r="C2" s="123" t="s">
        <v>52</v>
      </c>
      <c r="D2" s="123"/>
      <c r="E2" s="123"/>
      <c r="F2" s="123"/>
      <c r="G2" s="123"/>
    </row>
    <row r="3" spans="1:7" ht="16.5" x14ac:dyDescent="0.25">
      <c r="G3" s="8" t="s">
        <v>29</v>
      </c>
    </row>
    <row r="4" spans="1:7" ht="16.5" x14ac:dyDescent="0.25">
      <c r="G4" s="9" t="s">
        <v>30</v>
      </c>
    </row>
    <row r="5" spans="1:7" ht="16.5" x14ac:dyDescent="0.25">
      <c r="G5" s="9" t="s">
        <v>31</v>
      </c>
    </row>
    <row r="6" spans="1:7" ht="16.5" x14ac:dyDescent="0.25">
      <c r="G6" s="9" t="s">
        <v>31</v>
      </c>
    </row>
    <row r="7" spans="1:7" ht="16.5" x14ac:dyDescent="0.25">
      <c r="G7" s="9" t="s">
        <v>31</v>
      </c>
    </row>
    <row r="8" spans="1:7" ht="16.5" x14ac:dyDescent="0.25">
      <c r="G8" s="9" t="s">
        <v>31</v>
      </c>
    </row>
    <row r="9" spans="1:7" ht="24.75" customHeight="1" x14ac:dyDescent="0.25">
      <c r="G9" s="9" t="s">
        <v>32</v>
      </c>
    </row>
    <row r="10" spans="1:7" ht="16.5" customHeight="1" x14ac:dyDescent="0.25">
      <c r="A10" s="124" t="s">
        <v>126</v>
      </c>
      <c r="B10" s="124"/>
      <c r="C10" s="124"/>
      <c r="D10" s="124"/>
      <c r="E10" s="124"/>
      <c r="F10" s="124"/>
      <c r="G10" s="124"/>
    </row>
    <row r="11" spans="1:7" ht="16.5" customHeight="1" x14ac:dyDescent="0.25">
      <c r="A11" s="121" t="s">
        <v>0</v>
      </c>
      <c r="B11" s="121" t="s">
        <v>76</v>
      </c>
      <c r="C11" s="121" t="s">
        <v>2</v>
      </c>
      <c r="D11" s="121" t="s">
        <v>3</v>
      </c>
      <c r="E11" s="121"/>
      <c r="F11" s="121"/>
      <c r="G11" s="121"/>
    </row>
    <row r="12" spans="1:7" ht="16.5" customHeight="1" x14ac:dyDescent="0.25">
      <c r="A12" s="121"/>
      <c r="B12" s="121"/>
      <c r="C12" s="121"/>
      <c r="D12" s="121"/>
      <c r="E12" s="121"/>
      <c r="F12" s="121"/>
      <c r="G12" s="121"/>
    </row>
    <row r="13" spans="1:7" ht="30" customHeight="1" x14ac:dyDescent="0.25">
      <c r="A13" s="121"/>
      <c r="B13" s="121"/>
      <c r="C13" s="121"/>
      <c r="D13" s="98" t="s">
        <v>5</v>
      </c>
      <c r="E13" s="98" t="s">
        <v>6</v>
      </c>
      <c r="F13" s="98" t="s">
        <v>7</v>
      </c>
      <c r="G13" s="98" t="s">
        <v>8</v>
      </c>
    </row>
    <row r="14" spans="1:7" ht="16.5" customHeight="1" x14ac:dyDescent="0.25">
      <c r="A14" s="98">
        <v>1</v>
      </c>
      <c r="B14" s="98">
        <v>2</v>
      </c>
      <c r="C14" s="98">
        <v>3</v>
      </c>
      <c r="D14" s="98">
        <v>4</v>
      </c>
      <c r="E14" s="98">
        <v>5</v>
      </c>
      <c r="F14" s="98">
        <v>6</v>
      </c>
      <c r="G14" s="98">
        <v>7</v>
      </c>
    </row>
    <row r="15" spans="1:7" ht="64.5" customHeight="1" x14ac:dyDescent="0.25">
      <c r="A15" s="52" t="s">
        <v>9</v>
      </c>
      <c r="B15" s="52"/>
      <c r="C15" s="52"/>
      <c r="D15" s="98"/>
      <c r="E15" s="98"/>
      <c r="F15" s="98"/>
      <c r="G15" s="98"/>
    </row>
    <row r="16" spans="1:7" ht="39.75" customHeight="1" x14ac:dyDescent="0.25">
      <c r="A16" s="52" t="s">
        <v>69</v>
      </c>
      <c r="B16" s="45" t="s">
        <v>77</v>
      </c>
      <c r="C16" s="90">
        <v>85951</v>
      </c>
      <c r="D16" s="86">
        <v>40824.278437791028</v>
      </c>
      <c r="E16" s="86">
        <v>9884.364999999998</v>
      </c>
      <c r="F16" s="86">
        <v>4813.2559999999985</v>
      </c>
      <c r="G16" s="86">
        <v>30429.100562208951</v>
      </c>
    </row>
    <row r="17" spans="1:13" ht="48.75" customHeight="1" x14ac:dyDescent="0.25">
      <c r="A17" s="52" t="s">
        <v>70</v>
      </c>
      <c r="B17" s="45" t="s">
        <v>78</v>
      </c>
      <c r="C17" s="90">
        <v>797336.73599999992</v>
      </c>
      <c r="D17" s="86">
        <v>199334.18399999998</v>
      </c>
      <c r="E17" s="86">
        <v>199334.18399999998</v>
      </c>
      <c r="F17" s="86">
        <v>199334.18399999998</v>
      </c>
      <c r="G17" s="86">
        <v>199334.18399999998</v>
      </c>
      <c r="I17" s="107"/>
      <c r="J17" s="107"/>
      <c r="K17" s="106"/>
    </row>
    <row r="18" spans="1:13" ht="63.75" customHeight="1" x14ac:dyDescent="0.25">
      <c r="A18" s="52" t="s">
        <v>71</v>
      </c>
      <c r="B18" s="45" t="s">
        <v>78</v>
      </c>
      <c r="C18" s="90">
        <v>751993.65200000012</v>
      </c>
      <c r="D18" s="86">
        <v>187998.41300000003</v>
      </c>
      <c r="E18" s="86">
        <v>187998.41300000003</v>
      </c>
      <c r="F18" s="86">
        <v>187998.41300000003</v>
      </c>
      <c r="G18" s="86">
        <v>187998.41300000003</v>
      </c>
      <c r="I18" s="107"/>
      <c r="J18" s="107"/>
      <c r="K18" s="106"/>
    </row>
    <row r="19" spans="1:13" ht="18.75" customHeight="1" x14ac:dyDescent="0.25">
      <c r="A19" s="52" t="s">
        <v>72</v>
      </c>
      <c r="B19" s="45" t="s">
        <v>79</v>
      </c>
      <c r="C19" s="90">
        <v>10900.4</v>
      </c>
      <c r="D19" s="86">
        <v>2947.6</v>
      </c>
      <c r="E19" s="86">
        <v>2437.6</v>
      </c>
      <c r="F19" s="86">
        <v>2477.6</v>
      </c>
      <c r="G19" s="86">
        <v>3037.6</v>
      </c>
      <c r="I19" s="107"/>
      <c r="J19" s="107"/>
      <c r="K19" s="106"/>
    </row>
    <row r="20" spans="1:13" ht="16.5" customHeight="1" x14ac:dyDescent="0.25">
      <c r="A20" s="52" t="s">
        <v>73</v>
      </c>
      <c r="B20" s="45" t="s">
        <v>78</v>
      </c>
      <c r="C20" s="90">
        <v>15808.895</v>
      </c>
      <c r="D20" s="86">
        <v>3837.4737500000001</v>
      </c>
      <c r="E20" s="86">
        <v>3896.9737500000001</v>
      </c>
      <c r="F20" s="86">
        <v>3984.0987499999997</v>
      </c>
      <c r="G20" s="86">
        <v>4090.3487500000006</v>
      </c>
      <c r="J20" s="107"/>
      <c r="L20" s="107"/>
      <c r="M20" s="107"/>
    </row>
    <row r="21" spans="1:13" ht="25.5" customHeight="1" x14ac:dyDescent="0.25">
      <c r="A21" s="52" t="s">
        <v>74</v>
      </c>
      <c r="B21" s="45" t="s">
        <v>80</v>
      </c>
      <c r="C21" s="90">
        <v>204881.16999999998</v>
      </c>
      <c r="D21" s="90">
        <v>201813.16999999998</v>
      </c>
      <c r="E21" s="90">
        <v>201813.16999999998</v>
      </c>
      <c r="F21" s="90">
        <v>207949.16999999998</v>
      </c>
      <c r="G21" s="90">
        <v>207949.16999999998</v>
      </c>
      <c r="J21" s="107"/>
      <c r="L21" s="107"/>
      <c r="M21" s="107"/>
    </row>
    <row r="22" spans="1:13" ht="16.5" customHeight="1" x14ac:dyDescent="0.25">
      <c r="A22" s="52" t="s">
        <v>75</v>
      </c>
      <c r="B22" s="52"/>
      <c r="C22" s="53"/>
      <c r="D22" s="87"/>
      <c r="E22" s="54"/>
      <c r="F22" s="54"/>
      <c r="G22" s="54"/>
      <c r="J22" s="107"/>
      <c r="L22" s="107"/>
      <c r="M22" s="107"/>
    </row>
    <row r="23" spans="1:13" ht="39" customHeight="1" x14ac:dyDescent="0.25">
      <c r="A23" s="52" t="s">
        <v>88</v>
      </c>
      <c r="B23" s="45" t="s">
        <v>81</v>
      </c>
      <c r="C23" s="91">
        <v>183402.5</v>
      </c>
      <c r="D23" s="91">
        <v>51568.200000000004</v>
      </c>
      <c r="E23" s="91">
        <v>40572.1</v>
      </c>
      <c r="F23" s="91">
        <v>39645.699999999997</v>
      </c>
      <c r="G23" s="91">
        <v>51616.5</v>
      </c>
    </row>
    <row r="24" spans="1:13" ht="43.5" customHeight="1" x14ac:dyDescent="0.25">
      <c r="A24" s="52" t="s">
        <v>89</v>
      </c>
      <c r="B24" s="45"/>
      <c r="C24" s="91">
        <v>176565.2</v>
      </c>
      <c r="D24" s="91">
        <v>50875.200000000004</v>
      </c>
      <c r="E24" s="91">
        <v>38945.4</v>
      </c>
      <c r="F24" s="91">
        <v>36668.699999999997</v>
      </c>
      <c r="G24" s="91">
        <v>50075.9</v>
      </c>
    </row>
    <row r="25" spans="1:13" ht="16.5" customHeight="1" x14ac:dyDescent="0.25">
      <c r="A25" s="52" t="s">
        <v>69</v>
      </c>
      <c r="B25" s="45"/>
      <c r="C25" s="90">
        <v>74742.5</v>
      </c>
      <c r="D25" s="86">
        <v>25089.5</v>
      </c>
      <c r="E25" s="86">
        <v>13996.8</v>
      </c>
      <c r="F25" s="86">
        <v>11379.400000000001</v>
      </c>
      <c r="G25" s="86">
        <v>24276.799999999999</v>
      </c>
    </row>
    <row r="26" spans="1:13" x14ac:dyDescent="0.25">
      <c r="A26" s="52" t="s">
        <v>70</v>
      </c>
      <c r="B26" s="45"/>
      <c r="C26" s="90">
        <v>20154</v>
      </c>
      <c r="D26" s="86">
        <v>5038.5</v>
      </c>
      <c r="E26" s="86">
        <v>5038.5</v>
      </c>
      <c r="F26" s="86">
        <v>5038.5</v>
      </c>
      <c r="G26" s="86">
        <v>5038.5</v>
      </c>
    </row>
    <row r="27" spans="1:13" ht="21" customHeight="1" x14ac:dyDescent="0.25">
      <c r="A27" s="52" t="s">
        <v>71</v>
      </c>
      <c r="B27" s="45"/>
      <c r="C27" s="90">
        <v>26006.400000000001</v>
      </c>
      <c r="D27" s="86">
        <v>6501.6</v>
      </c>
      <c r="E27" s="86">
        <v>6501.6</v>
      </c>
      <c r="F27" s="86">
        <v>6501.6</v>
      </c>
      <c r="G27" s="86">
        <v>6501.6</v>
      </c>
    </row>
    <row r="28" spans="1:13" ht="18" customHeight="1" x14ac:dyDescent="0.25">
      <c r="A28" s="52" t="s">
        <v>72</v>
      </c>
      <c r="B28" s="45"/>
      <c r="C28" s="90">
        <v>14115.199999999999</v>
      </c>
      <c r="D28" s="86">
        <v>3823.2999999999997</v>
      </c>
      <c r="E28" s="86">
        <v>3129.7000000000003</v>
      </c>
      <c r="F28" s="86">
        <v>3200.3</v>
      </c>
      <c r="G28" s="86">
        <v>3961.8999999999996</v>
      </c>
    </row>
    <row r="29" spans="1:13" ht="18" customHeight="1" x14ac:dyDescent="0.25">
      <c r="A29" s="52" t="s">
        <v>73</v>
      </c>
      <c r="B29" s="45"/>
      <c r="C29" s="90">
        <v>5892</v>
      </c>
      <c r="D29" s="86">
        <v>1458.3000000000002</v>
      </c>
      <c r="E29" s="86">
        <v>1458.3000000000002</v>
      </c>
      <c r="F29" s="86">
        <v>1487.6999999999998</v>
      </c>
      <c r="G29" s="86">
        <v>1487.6999999999998</v>
      </c>
    </row>
    <row r="30" spans="1:13" ht="24" customHeight="1" x14ac:dyDescent="0.25">
      <c r="A30" s="52" t="s">
        <v>74</v>
      </c>
      <c r="B30" s="45"/>
      <c r="C30" s="90">
        <v>35655.1</v>
      </c>
      <c r="D30" s="86">
        <v>8964</v>
      </c>
      <c r="E30" s="86">
        <v>8820.5</v>
      </c>
      <c r="F30" s="86">
        <v>9061.2000000000007</v>
      </c>
      <c r="G30" s="86">
        <v>8809.4</v>
      </c>
    </row>
    <row r="31" spans="1:13" ht="24.75" customHeight="1" x14ac:dyDescent="0.25">
      <c r="A31" s="52" t="s">
        <v>75</v>
      </c>
      <c r="B31" s="52"/>
      <c r="C31" s="90"/>
      <c r="D31" s="86"/>
      <c r="E31" s="86"/>
      <c r="F31" s="86"/>
      <c r="G31" s="86"/>
    </row>
    <row r="32" spans="1:13" ht="28.5" x14ac:dyDescent="0.25">
      <c r="A32" s="52" t="s">
        <v>10</v>
      </c>
      <c r="B32" s="52"/>
      <c r="C32" s="90">
        <v>6837.2999999999993</v>
      </c>
      <c r="D32" s="86">
        <v>693</v>
      </c>
      <c r="E32" s="86">
        <v>1626.6999999999998</v>
      </c>
      <c r="F32" s="86">
        <v>2977</v>
      </c>
      <c r="G32" s="86">
        <v>1540.6</v>
      </c>
    </row>
    <row r="33" spans="1:7" ht="57" x14ac:dyDescent="0.25">
      <c r="A33" s="52" t="s">
        <v>92</v>
      </c>
      <c r="B33" s="45" t="s">
        <v>81</v>
      </c>
      <c r="C33" s="90">
        <v>180873.39999999997</v>
      </c>
      <c r="D33" s="90">
        <v>50109.499999999993</v>
      </c>
      <c r="E33" s="90">
        <v>39916.099999999991</v>
      </c>
      <c r="F33" s="90">
        <v>40031.499999999993</v>
      </c>
      <c r="G33" s="90">
        <v>50816.3</v>
      </c>
    </row>
    <row r="34" spans="1:7" ht="28.5" x14ac:dyDescent="0.25">
      <c r="A34" s="52" t="s">
        <v>82</v>
      </c>
      <c r="B34" s="52"/>
      <c r="C34" s="90">
        <v>175225</v>
      </c>
      <c r="D34" s="90">
        <v>49741.799999999988</v>
      </c>
      <c r="E34" s="90">
        <v>38614.199999999997</v>
      </c>
      <c r="F34" s="90">
        <v>37329.800000000003</v>
      </c>
      <c r="G34" s="90">
        <v>49539.199999999997</v>
      </c>
    </row>
    <row r="35" spans="1:7" ht="42.75" x14ac:dyDescent="0.25">
      <c r="A35" s="52" t="s">
        <v>138</v>
      </c>
      <c r="B35" s="52"/>
      <c r="C35" s="90">
        <v>87543.400000000009</v>
      </c>
      <c r="D35" s="90">
        <v>28656</v>
      </c>
      <c r="E35" s="90">
        <v>16702</v>
      </c>
      <c r="F35" s="90">
        <v>14299.9</v>
      </c>
      <c r="G35" s="90">
        <v>27885.500000000004</v>
      </c>
    </row>
    <row r="36" spans="1:7" x14ac:dyDescent="0.25">
      <c r="A36" s="52" t="s">
        <v>83</v>
      </c>
      <c r="B36" s="52"/>
      <c r="C36" s="90">
        <v>25240.199999999997</v>
      </c>
      <c r="D36" s="90">
        <v>6307.5</v>
      </c>
      <c r="E36" s="90">
        <v>6307.5</v>
      </c>
      <c r="F36" s="90">
        <v>6312.5999999999995</v>
      </c>
      <c r="G36" s="90">
        <v>6312.5999999999995</v>
      </c>
    </row>
    <row r="37" spans="1:7" ht="28.5" x14ac:dyDescent="0.25">
      <c r="A37" s="52" t="s">
        <v>84</v>
      </c>
      <c r="B37" s="52"/>
      <c r="C37" s="90">
        <v>7623</v>
      </c>
      <c r="D37" s="90">
        <v>1905</v>
      </c>
      <c r="E37" s="90">
        <v>1905</v>
      </c>
      <c r="F37" s="90">
        <v>1906.5</v>
      </c>
      <c r="G37" s="90">
        <v>1906.5</v>
      </c>
    </row>
    <row r="38" spans="1:7" ht="17.25" customHeight="1" x14ac:dyDescent="0.25">
      <c r="A38" s="52" t="s">
        <v>85</v>
      </c>
      <c r="B38" s="52"/>
      <c r="C38" s="90">
        <v>2646</v>
      </c>
      <c r="D38" s="90">
        <v>660.90000000000009</v>
      </c>
      <c r="E38" s="90">
        <v>660.90000000000009</v>
      </c>
      <c r="F38" s="90">
        <v>662.09999999999991</v>
      </c>
      <c r="G38" s="90">
        <v>662.09999999999991</v>
      </c>
    </row>
    <row r="39" spans="1:7" x14ac:dyDescent="0.25">
      <c r="A39" s="52" t="s">
        <v>86</v>
      </c>
      <c r="B39" s="52"/>
      <c r="C39" s="90">
        <v>52172.399999999994</v>
      </c>
      <c r="D39" s="90">
        <v>12212.399999999989</v>
      </c>
      <c r="E39" s="90">
        <v>13038.799999999997</v>
      </c>
      <c r="F39" s="90">
        <v>14148.700000000003</v>
      </c>
      <c r="G39" s="90">
        <v>12772.499999999995</v>
      </c>
    </row>
    <row r="40" spans="1:7" s="37" customFormat="1" ht="28.5" x14ac:dyDescent="0.25">
      <c r="A40" s="52" t="s">
        <v>11</v>
      </c>
      <c r="B40" s="52"/>
      <c r="C40" s="92">
        <v>5648.4</v>
      </c>
      <c r="D40" s="92">
        <v>367.70000000000005</v>
      </c>
      <c r="E40" s="92">
        <v>1301.9000000000001</v>
      </c>
      <c r="F40" s="92">
        <v>2701.7</v>
      </c>
      <c r="G40" s="92">
        <v>1277.1000000000001</v>
      </c>
    </row>
    <row r="41" spans="1:7" s="37" customFormat="1" ht="71.25" x14ac:dyDescent="0.25">
      <c r="A41" s="52" t="s">
        <v>135</v>
      </c>
      <c r="B41" s="52" t="s">
        <v>90</v>
      </c>
      <c r="C41" s="48">
        <v>1340.2000000000116</v>
      </c>
      <c r="D41" s="48">
        <v>1133.400000000016</v>
      </c>
      <c r="E41" s="48">
        <v>331.20000000000437</v>
      </c>
      <c r="F41" s="48">
        <v>-661.10000000000582</v>
      </c>
      <c r="G41" s="48">
        <v>536.70000000000437</v>
      </c>
    </row>
    <row r="42" spans="1:7" s="37" customFormat="1" ht="42.75" x14ac:dyDescent="0.25">
      <c r="A42" s="52" t="s">
        <v>12</v>
      </c>
      <c r="B42" s="52"/>
      <c r="C42" s="90">
        <v>2529.1000000000349</v>
      </c>
      <c r="D42" s="90">
        <v>1458.7000000000116</v>
      </c>
      <c r="E42" s="90">
        <v>656.00000000000728</v>
      </c>
      <c r="F42" s="90">
        <v>-385.79999999999563</v>
      </c>
      <c r="G42" s="90">
        <v>800.19999999999709</v>
      </c>
    </row>
    <row r="43" spans="1:7" s="37" customFormat="1" ht="127.5" customHeight="1" x14ac:dyDescent="0.25">
      <c r="A43" s="52" t="s">
        <v>13</v>
      </c>
      <c r="B43" s="52"/>
      <c r="C43" s="90">
        <v>72.910000000002043</v>
      </c>
      <c r="D43" s="86"/>
      <c r="E43" s="86"/>
      <c r="F43" s="86"/>
      <c r="G43" s="86"/>
    </row>
    <row r="44" spans="1:7" s="37" customFormat="1" ht="36" customHeight="1" x14ac:dyDescent="0.25">
      <c r="A44" s="52" t="s">
        <v>14</v>
      </c>
      <c r="B44" s="64"/>
      <c r="C44" s="90">
        <v>729.10000000002037</v>
      </c>
      <c r="D44" s="86">
        <v>1341.2000000000116</v>
      </c>
      <c r="E44" s="86">
        <v>538.50000000000728</v>
      </c>
      <c r="F44" s="86">
        <v>-1833.2999999999956</v>
      </c>
      <c r="G44" s="86">
        <v>682.69999999999709</v>
      </c>
    </row>
    <row r="45" spans="1:7" s="37" customFormat="1" ht="99.75" x14ac:dyDescent="0.25">
      <c r="A45" s="53" t="s">
        <v>97</v>
      </c>
      <c r="B45" s="53"/>
      <c r="C45" s="86">
        <v>52609.994951180219</v>
      </c>
      <c r="D45" s="86">
        <v>13152.498737795055</v>
      </c>
      <c r="E45" s="86">
        <v>13152.498737795055</v>
      </c>
      <c r="F45" s="86">
        <v>13152.498737795055</v>
      </c>
      <c r="G45" s="86">
        <v>13152.498737795055</v>
      </c>
    </row>
    <row r="46" spans="1:7" ht="57" x14ac:dyDescent="0.25">
      <c r="A46" s="108" t="s">
        <v>127</v>
      </c>
      <c r="B46" s="56"/>
      <c r="C46" s="96">
        <v>240.35</v>
      </c>
      <c r="D46" s="96">
        <v>240.35</v>
      </c>
      <c r="E46" s="96">
        <v>240.35</v>
      </c>
      <c r="F46" s="96">
        <v>240.35</v>
      </c>
      <c r="G46" s="96">
        <v>240.35</v>
      </c>
    </row>
    <row r="47" spans="1:7" x14ac:dyDescent="0.25">
      <c r="A47" s="53" t="s">
        <v>16</v>
      </c>
      <c r="B47" s="53"/>
      <c r="C47" s="54">
        <v>28.5</v>
      </c>
      <c r="D47" s="54">
        <v>28.5</v>
      </c>
      <c r="E47" s="54">
        <v>28.5</v>
      </c>
      <c r="F47" s="54">
        <v>28.5</v>
      </c>
      <c r="G47" s="54">
        <v>28.5</v>
      </c>
    </row>
    <row r="48" spans="1:7" x14ac:dyDescent="0.25">
      <c r="A48" s="53" t="s">
        <v>17</v>
      </c>
      <c r="B48" s="53"/>
      <c r="C48" s="97">
        <v>211.85</v>
      </c>
      <c r="D48" s="97">
        <v>211.85</v>
      </c>
      <c r="E48" s="97">
        <v>211.85</v>
      </c>
      <c r="F48" s="97">
        <v>211.85</v>
      </c>
      <c r="G48" s="97">
        <v>211.85</v>
      </c>
    </row>
    <row r="49" spans="1:15 16379:16379" ht="42.75" x14ac:dyDescent="0.25">
      <c r="A49" s="53" t="s">
        <v>96</v>
      </c>
      <c r="B49" s="53"/>
      <c r="C49" s="87">
        <v>18240.758252264135</v>
      </c>
      <c r="D49" s="87">
        <v>18240.758252264135</v>
      </c>
      <c r="E49" s="87">
        <v>18240.758252264135</v>
      </c>
      <c r="F49" s="87">
        <v>18240.758252264135</v>
      </c>
      <c r="G49" s="87">
        <v>18240.758252264135</v>
      </c>
      <c r="XEY49" s="31"/>
    </row>
    <row r="50" spans="1:15 16379:16379" x14ac:dyDescent="0.25">
      <c r="A50" s="53" t="s">
        <v>16</v>
      </c>
      <c r="B50" s="53"/>
      <c r="C50" s="88">
        <v>37582.18914473684</v>
      </c>
      <c r="D50" s="88">
        <v>37582.18914473684</v>
      </c>
      <c r="E50" s="88">
        <v>37582.18914473684</v>
      </c>
      <c r="F50" s="88">
        <v>37582.18914473684</v>
      </c>
      <c r="G50" s="88">
        <v>37582.18914473684</v>
      </c>
    </row>
    <row r="51" spans="1:15 16379:16379" x14ac:dyDescent="0.25">
      <c r="A51" s="53" t="s">
        <v>17</v>
      </c>
      <c r="B51" s="53"/>
      <c r="C51" s="88">
        <v>20273.34692807616</v>
      </c>
      <c r="D51" s="88">
        <v>17099.718330306518</v>
      </c>
      <c r="E51" s="88">
        <v>17099.718330306518</v>
      </c>
      <c r="F51" s="88">
        <v>17099.718330306518</v>
      </c>
      <c r="G51" s="88">
        <v>17099.718330306518</v>
      </c>
      <c r="J51" s="106"/>
    </row>
    <row r="52" spans="1:15 16379:16379" ht="71.25" x14ac:dyDescent="0.25">
      <c r="A52" s="52" t="s">
        <v>95</v>
      </c>
      <c r="B52" s="59"/>
      <c r="C52" s="92">
        <v>3375</v>
      </c>
      <c r="D52" s="54">
        <v>0</v>
      </c>
      <c r="E52" s="54">
        <v>0</v>
      </c>
      <c r="F52" s="54">
        <v>0</v>
      </c>
      <c r="G52" s="54">
        <v>3375</v>
      </c>
      <c r="O52" s="105"/>
    </row>
    <row r="53" spans="1:15 16379:16379" ht="71.25" x14ac:dyDescent="0.25">
      <c r="A53" s="52" t="s">
        <v>18</v>
      </c>
      <c r="B53" s="52"/>
      <c r="C53" s="93">
        <v>0.66949000000000003</v>
      </c>
      <c r="D53" s="94">
        <v>0.16737250000000001</v>
      </c>
      <c r="E53" s="94">
        <v>0.16737250000000001</v>
      </c>
      <c r="F53" s="94">
        <v>0.16737250000000001</v>
      </c>
      <c r="G53" s="94">
        <v>0.16737250000000001</v>
      </c>
    </row>
    <row r="54" spans="1:15 16379:16379" ht="28.5" x14ac:dyDescent="0.25">
      <c r="A54" s="52" t="s">
        <v>19</v>
      </c>
      <c r="B54" s="52"/>
      <c r="C54" s="53">
        <v>71848</v>
      </c>
      <c r="D54" s="54"/>
      <c r="E54" s="54"/>
      <c r="F54" s="54"/>
      <c r="G54" s="54"/>
    </row>
    <row r="55" spans="1:15 16379:16379" ht="42.75" x14ac:dyDescent="0.25">
      <c r="A55" s="52" t="s">
        <v>20</v>
      </c>
      <c r="B55" s="52"/>
      <c r="C55" s="95">
        <v>3.679079510887247E-3</v>
      </c>
      <c r="D55" s="95">
        <v>1.1146986999115991E-2</v>
      </c>
      <c r="E55" s="95">
        <v>4.1148888905455016E-3</v>
      </c>
      <c r="F55" s="95">
        <v>-8.2972293203075146E-3</v>
      </c>
      <c r="G55" s="95">
        <v>5.2395326496981857E-3</v>
      </c>
    </row>
    <row r="56" spans="1:15 16379:16379" ht="71.25" x14ac:dyDescent="0.25">
      <c r="A56" s="52" t="s">
        <v>93</v>
      </c>
      <c r="B56" s="52"/>
      <c r="C56" s="54">
        <v>24215</v>
      </c>
      <c r="D56" s="54">
        <v>25267</v>
      </c>
      <c r="E56" s="54">
        <v>23900</v>
      </c>
      <c r="F56" s="54">
        <v>22280</v>
      </c>
      <c r="G56" s="54">
        <v>24215</v>
      </c>
    </row>
    <row r="57" spans="1:15 16379:16379" ht="57" x14ac:dyDescent="0.25">
      <c r="A57" s="52" t="s">
        <v>94</v>
      </c>
      <c r="B57" s="52"/>
      <c r="C57" s="54">
        <v>18850</v>
      </c>
      <c r="D57" s="54">
        <v>19250</v>
      </c>
      <c r="E57" s="54">
        <v>19600</v>
      </c>
      <c r="F57" s="54">
        <v>13850</v>
      </c>
      <c r="G57" s="54">
        <v>18850</v>
      </c>
    </row>
    <row r="58" spans="1:15 16379:16379" x14ac:dyDescent="0.25">
      <c r="A58" s="117" t="s">
        <v>136</v>
      </c>
      <c r="B58" s="52"/>
      <c r="C58" s="54"/>
      <c r="D58" s="54"/>
      <c r="E58" s="54"/>
      <c r="F58" s="54"/>
      <c r="G58" s="54"/>
    </row>
    <row r="59" spans="1:15 16379:16379" x14ac:dyDescent="0.25">
      <c r="A59" s="52" t="s">
        <v>21</v>
      </c>
      <c r="B59" s="52"/>
      <c r="C59" s="45">
        <v>9913.2032046557524</v>
      </c>
      <c r="D59" s="87">
        <v>11956.300268096515</v>
      </c>
      <c r="E59" s="87">
        <v>10547.669139630163</v>
      </c>
      <c r="F59" s="97">
        <v>5210.9276153692481</v>
      </c>
      <c r="G59" s="97">
        <v>9913.2032046557524</v>
      </c>
    </row>
    <row r="60" spans="1:15 16379:16379" x14ac:dyDescent="0.25">
      <c r="A60" s="52" t="s">
        <v>22</v>
      </c>
      <c r="B60" s="52"/>
      <c r="C60" s="45">
        <v>4143.5697164463199</v>
      </c>
      <c r="D60" s="87">
        <v>2967.9624664879357</v>
      </c>
      <c r="E60" s="87">
        <v>4408.9691064112503</v>
      </c>
      <c r="F60" s="87">
        <v>4207.4781913830993</v>
      </c>
      <c r="G60" s="97">
        <v>4143.5697164463199</v>
      </c>
    </row>
    <row r="61" spans="1:15 16379:16379" ht="28.5" x14ac:dyDescent="0.25">
      <c r="A61" s="52" t="s">
        <v>109</v>
      </c>
      <c r="B61" s="52"/>
      <c r="C61" s="45">
        <v>3068.9163721521795</v>
      </c>
      <c r="D61" s="45">
        <v>3068.9163721521795</v>
      </c>
      <c r="E61" s="45">
        <v>3068.9163721521795</v>
      </c>
      <c r="F61" s="45">
        <v>3068.9163721521795</v>
      </c>
      <c r="G61" s="45">
        <v>3068.9163721521795</v>
      </c>
    </row>
    <row r="65" spans="4:7" x14ac:dyDescent="0.25">
      <c r="G65"/>
    </row>
    <row r="66" spans="4:7" x14ac:dyDescent="0.25">
      <c r="D66"/>
      <c r="E66"/>
      <c r="F66" s="120"/>
      <c r="G66"/>
    </row>
    <row r="67" spans="4:7" x14ac:dyDescent="0.25">
      <c r="D67"/>
      <c r="E67"/>
      <c r="F67" s="120"/>
      <c r="G67"/>
    </row>
  </sheetData>
  <mergeCells count="7">
    <mergeCell ref="C1:D1"/>
    <mergeCell ref="C2:G2"/>
    <mergeCell ref="A10:G10"/>
    <mergeCell ref="A11:A13"/>
    <mergeCell ref="B11:B13"/>
    <mergeCell ref="C11:C13"/>
    <mergeCell ref="D11:G12"/>
  </mergeCells>
  <pageMargins left="0.11811023622047245" right="0.11811023622047245" top="0.15748031496062992" bottom="0.15748031496062992" header="0.31496062992125984" footer="0.31496062992125984"/>
  <pageSetup paperSize="9" scale="10" fitToHeight="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J30"/>
  <sheetViews>
    <sheetView tabSelected="1" workbookViewId="0">
      <selection activeCell="A15" sqref="A15"/>
    </sheetView>
  </sheetViews>
  <sheetFormatPr defaultRowHeight="15" x14ac:dyDescent="0.25"/>
  <cols>
    <col min="1" max="1" width="42.7109375" customWidth="1"/>
    <col min="2" max="2" width="12.7109375" hidden="1" customWidth="1"/>
    <col min="3" max="3" width="10.140625" hidden="1" customWidth="1"/>
    <col min="4" max="4" width="12.140625" customWidth="1"/>
  </cols>
  <sheetData>
    <row r="2" spans="1:10" ht="16.5" x14ac:dyDescent="0.25">
      <c r="A2" s="125" t="s">
        <v>26</v>
      </c>
      <c r="B2" s="125"/>
      <c r="C2" s="125"/>
      <c r="D2" s="125"/>
      <c r="E2" s="125"/>
      <c r="F2" s="125"/>
      <c r="G2" s="125"/>
      <c r="H2" s="125"/>
    </row>
    <row r="3" spans="1:10" ht="15.75" customHeight="1" x14ac:dyDescent="0.25">
      <c r="A3" s="126" t="s">
        <v>23</v>
      </c>
      <c r="B3" s="128">
        <v>2011</v>
      </c>
      <c r="C3" s="128">
        <v>2012</v>
      </c>
      <c r="D3" s="127" t="s">
        <v>2</v>
      </c>
      <c r="E3" s="126" t="s">
        <v>3</v>
      </c>
      <c r="F3" s="126"/>
      <c r="G3" s="126"/>
      <c r="H3" s="126"/>
    </row>
    <row r="4" spans="1:10" ht="33" customHeight="1" x14ac:dyDescent="0.25">
      <c r="A4" s="126"/>
      <c r="B4" s="129"/>
      <c r="C4" s="129"/>
      <c r="D4" s="127"/>
      <c r="E4" s="84" t="s">
        <v>6</v>
      </c>
      <c r="F4" s="84" t="s">
        <v>7</v>
      </c>
      <c r="G4" s="84" t="s">
        <v>7</v>
      </c>
      <c r="H4" s="84" t="s">
        <v>8</v>
      </c>
    </row>
    <row r="5" spans="1:10" ht="16.5" x14ac:dyDescent="0.25">
      <c r="A5" s="84">
        <v>1</v>
      </c>
      <c r="B5" s="99"/>
      <c r="C5" s="99"/>
      <c r="D5" s="84">
        <v>5</v>
      </c>
      <c r="E5" s="84">
        <v>6</v>
      </c>
      <c r="F5" s="84">
        <v>7</v>
      </c>
      <c r="G5" s="84">
        <v>8</v>
      </c>
      <c r="H5" s="84">
        <v>9</v>
      </c>
    </row>
    <row r="6" spans="1:10" ht="18.75" customHeight="1" x14ac:dyDescent="0.25">
      <c r="A6" s="66" t="s">
        <v>112</v>
      </c>
      <c r="B6" s="66"/>
      <c r="C6" s="66"/>
      <c r="D6" s="74">
        <v>5175.1000000000349</v>
      </c>
      <c r="E6" s="67">
        <v>2120</v>
      </c>
      <c r="F6" s="67">
        <v>1317</v>
      </c>
      <c r="G6" s="67">
        <v>276</v>
      </c>
      <c r="H6" s="67">
        <v>1462</v>
      </c>
    </row>
    <row r="7" spans="1:10" ht="18.75" customHeight="1" x14ac:dyDescent="0.25">
      <c r="A7" s="68" t="s">
        <v>113</v>
      </c>
      <c r="B7" s="68"/>
      <c r="C7" s="68"/>
      <c r="D7" s="89">
        <v>2529.1000000000349</v>
      </c>
      <c r="E7" s="100">
        <v>1459</v>
      </c>
      <c r="F7" s="100">
        <v>656</v>
      </c>
      <c r="G7" s="100">
        <v>-386</v>
      </c>
      <c r="H7" s="100">
        <v>800</v>
      </c>
    </row>
    <row r="8" spans="1:10" ht="18.75" customHeight="1" x14ac:dyDescent="0.25">
      <c r="A8" s="68" t="s">
        <v>114</v>
      </c>
      <c r="B8" s="68"/>
      <c r="C8" s="68"/>
      <c r="D8" s="71">
        <v>2646</v>
      </c>
      <c r="E8" s="100">
        <v>661</v>
      </c>
      <c r="F8" s="100">
        <v>661</v>
      </c>
      <c r="G8" s="100">
        <v>662</v>
      </c>
      <c r="H8" s="100">
        <v>662</v>
      </c>
    </row>
    <row r="9" spans="1:10" ht="18.75" customHeight="1" x14ac:dyDescent="0.25">
      <c r="A9" s="68" t="s">
        <v>115</v>
      </c>
      <c r="B9" s="68"/>
      <c r="C9" s="68"/>
      <c r="D9" s="85"/>
      <c r="E9" s="85"/>
      <c r="F9" s="85"/>
      <c r="G9" s="85"/>
      <c r="H9" s="85"/>
    </row>
    <row r="10" spans="1:10" ht="18.75" customHeight="1" x14ac:dyDescent="0.25">
      <c r="A10" s="69" t="s">
        <v>111</v>
      </c>
      <c r="B10" s="69"/>
      <c r="C10" s="69">
        <v>3405</v>
      </c>
      <c r="D10" s="85">
        <v>0</v>
      </c>
      <c r="E10" s="85"/>
      <c r="F10" s="85"/>
      <c r="G10" s="85"/>
      <c r="H10" s="85"/>
    </row>
    <row r="11" spans="1:10" ht="18.75" customHeight="1" x14ac:dyDescent="0.25">
      <c r="A11" s="69" t="s">
        <v>25</v>
      </c>
      <c r="B11" s="69"/>
      <c r="C11" s="69"/>
      <c r="D11" s="85">
        <v>0</v>
      </c>
      <c r="E11" s="85"/>
      <c r="F11" s="85"/>
      <c r="G11" s="85"/>
      <c r="H11" s="85"/>
    </row>
    <row r="12" spans="1:10" ht="24" customHeight="1" x14ac:dyDescent="0.25">
      <c r="A12" s="67" t="s">
        <v>120</v>
      </c>
      <c r="B12" s="67"/>
      <c r="C12" s="67"/>
      <c r="D12" s="74">
        <v>5175</v>
      </c>
      <c r="E12" s="74">
        <v>117.5</v>
      </c>
      <c r="F12" s="74">
        <v>117.5</v>
      </c>
      <c r="G12" s="74">
        <v>1447.5</v>
      </c>
      <c r="H12" s="74">
        <v>3492.5</v>
      </c>
      <c r="J12" s="104"/>
    </row>
    <row r="13" spans="1:10" ht="33" customHeight="1" x14ac:dyDescent="0.25">
      <c r="A13" s="85" t="s">
        <v>121</v>
      </c>
      <c r="B13" s="100">
        <v>680</v>
      </c>
      <c r="C13" s="100">
        <v>1738</v>
      </c>
      <c r="D13" s="75">
        <v>1800</v>
      </c>
      <c r="E13" s="67">
        <v>117.5</v>
      </c>
      <c r="F13" s="67">
        <v>117.5</v>
      </c>
      <c r="G13" s="67">
        <v>1447.5</v>
      </c>
      <c r="H13" s="67">
        <v>117.5</v>
      </c>
      <c r="J13" s="104"/>
    </row>
    <row r="14" spans="1:10" ht="20.25" customHeight="1" x14ac:dyDescent="0.25">
      <c r="A14" s="85" t="s">
        <v>119</v>
      </c>
      <c r="B14" s="100"/>
      <c r="C14" s="100"/>
      <c r="D14" s="67"/>
      <c r="E14" s="67"/>
      <c r="F14" s="67"/>
      <c r="G14" s="67"/>
      <c r="H14" s="67"/>
    </row>
    <row r="15" spans="1:10" ht="52.5" customHeight="1" x14ac:dyDescent="0.25">
      <c r="A15" s="85" t="s">
        <v>122</v>
      </c>
      <c r="B15" s="100"/>
      <c r="C15" s="100"/>
      <c r="D15" s="85">
        <v>3375</v>
      </c>
      <c r="E15" s="100"/>
      <c r="F15" s="100"/>
      <c r="G15" s="100"/>
      <c r="H15" s="100">
        <v>3375</v>
      </c>
    </row>
    <row r="16" spans="1:10" ht="24" customHeight="1" x14ac:dyDescent="0.25">
      <c r="A16" s="70" t="s">
        <v>118</v>
      </c>
      <c r="B16" s="70"/>
      <c r="C16" s="70"/>
      <c r="D16" s="85">
        <v>0</v>
      </c>
      <c r="E16" s="85"/>
      <c r="F16" s="85"/>
      <c r="G16" s="85"/>
      <c r="H16" s="85"/>
    </row>
    <row r="17" spans="1:8" ht="24" customHeight="1" x14ac:dyDescent="0.25">
      <c r="A17" s="70" t="s">
        <v>117</v>
      </c>
      <c r="B17" s="70"/>
      <c r="C17" s="70"/>
      <c r="D17" s="100">
        <v>0</v>
      </c>
      <c r="E17" s="85"/>
      <c r="F17" s="85"/>
      <c r="G17" s="85"/>
      <c r="H17" s="85"/>
    </row>
    <row r="18" spans="1:8" ht="24" customHeight="1" x14ac:dyDescent="0.25">
      <c r="A18" s="70" t="s">
        <v>116</v>
      </c>
      <c r="B18" s="70"/>
      <c r="C18" s="70"/>
      <c r="D18" s="100">
        <v>3375</v>
      </c>
      <c r="E18" s="85"/>
      <c r="F18" s="85"/>
      <c r="G18" s="85"/>
      <c r="H18" s="85">
        <v>3375</v>
      </c>
    </row>
    <row r="19" spans="1:8" s="77" customFormat="1" ht="16.5" x14ac:dyDescent="0.25">
      <c r="A19" s="76"/>
      <c r="B19" s="76"/>
      <c r="C19" s="76"/>
    </row>
    <row r="20" spans="1:8" ht="16.5" x14ac:dyDescent="0.25">
      <c r="A20" s="14" t="s">
        <v>124</v>
      </c>
      <c r="B20" s="14"/>
      <c r="C20" s="14"/>
      <c r="D20" s="15" t="s">
        <v>123</v>
      </c>
      <c r="E20" s="15"/>
    </row>
    <row r="21" spans="1:8" x14ac:dyDescent="0.25">
      <c r="A21" s="12" t="s">
        <v>37</v>
      </c>
      <c r="B21" s="12"/>
      <c r="C21" s="12"/>
      <c r="D21" s="13" t="s">
        <v>39</v>
      </c>
      <c r="E21" s="13"/>
      <c r="F21" s="13"/>
    </row>
    <row r="22" spans="1:8" ht="16.5" x14ac:dyDescent="0.25">
      <c r="A22" s="11"/>
      <c r="B22" s="11"/>
      <c r="C22" s="11"/>
    </row>
    <row r="23" spans="1:8" ht="16.5" x14ac:dyDescent="0.25">
      <c r="A23" s="11"/>
      <c r="B23" s="11"/>
      <c r="C23" s="11"/>
    </row>
    <row r="24" spans="1:8" ht="16.5" x14ac:dyDescent="0.25">
      <c r="A24" s="11" t="s">
        <v>33</v>
      </c>
      <c r="B24" s="11"/>
      <c r="C24" s="11"/>
    </row>
    <row r="25" spans="1:8" ht="16.5" x14ac:dyDescent="0.25">
      <c r="A25" s="11"/>
      <c r="B25" s="11"/>
      <c r="C25" s="11"/>
    </row>
    <row r="26" spans="1:8" ht="16.5" x14ac:dyDescent="0.25">
      <c r="A26" s="11"/>
      <c r="B26" s="11"/>
      <c r="C26" s="11"/>
    </row>
    <row r="27" spans="1:8" ht="16.5" x14ac:dyDescent="0.25">
      <c r="A27" s="11" t="s">
        <v>34</v>
      </c>
      <c r="B27" s="11"/>
      <c r="C27" s="11"/>
    </row>
    <row r="28" spans="1:8" ht="16.5" x14ac:dyDescent="0.25">
      <c r="A28" s="14"/>
      <c r="B28" s="14"/>
      <c r="C28" s="14"/>
      <c r="D28" s="15"/>
      <c r="E28" s="15"/>
    </row>
    <row r="29" spans="1:8" x14ac:dyDescent="0.25">
      <c r="A29" s="12" t="s">
        <v>37</v>
      </c>
      <c r="B29" s="12"/>
      <c r="C29" s="12"/>
      <c r="D29" s="13" t="s">
        <v>39</v>
      </c>
      <c r="E29" s="13"/>
      <c r="F29" s="13"/>
    </row>
    <row r="30" spans="1:8" ht="16.5" x14ac:dyDescent="0.25">
      <c r="A30" s="11" t="s">
        <v>33</v>
      </c>
      <c r="B30" s="11"/>
      <c r="C30" s="11"/>
    </row>
  </sheetData>
  <mergeCells count="6">
    <mergeCell ref="A2:H2"/>
    <mergeCell ref="A3:A4"/>
    <mergeCell ref="D3:D4"/>
    <mergeCell ref="E3:H3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XFC63"/>
  <sheetViews>
    <sheetView zoomScale="85" zoomScaleNormal="85" workbookViewId="0">
      <selection activeCell="D21" sqref="D21"/>
    </sheetView>
  </sheetViews>
  <sheetFormatPr defaultRowHeight="15" x14ac:dyDescent="0.25"/>
  <cols>
    <col min="1" max="1" width="28" customWidth="1"/>
    <col min="2" max="2" width="11.85546875" customWidth="1"/>
    <col min="3" max="3" width="12.7109375" customWidth="1"/>
    <col min="4" max="4" width="14" style="32" customWidth="1"/>
    <col min="5" max="5" width="12.7109375" customWidth="1"/>
    <col min="6" max="6" width="13.7109375" customWidth="1"/>
    <col min="7" max="10" width="11.140625" style="42" customWidth="1"/>
  </cols>
  <sheetData>
    <row r="1" spans="1:11" ht="15" customHeight="1" x14ac:dyDescent="0.25">
      <c r="F1" s="122" t="s">
        <v>28</v>
      </c>
      <c r="G1" s="122"/>
      <c r="K1" s="78"/>
    </row>
    <row r="2" spans="1:11" ht="83.25" customHeight="1" x14ac:dyDescent="0.25">
      <c r="F2" s="123" t="s">
        <v>52</v>
      </c>
      <c r="G2" s="123"/>
      <c r="H2" s="123"/>
      <c r="I2" s="123"/>
      <c r="J2" s="123"/>
      <c r="K2" s="65"/>
    </row>
    <row r="3" spans="1:11" ht="16.5" x14ac:dyDescent="0.25">
      <c r="J3" s="8" t="s">
        <v>29</v>
      </c>
      <c r="K3" s="8"/>
    </row>
    <row r="4" spans="1:11" ht="16.5" x14ac:dyDescent="0.25">
      <c r="J4" s="9" t="s">
        <v>30</v>
      </c>
      <c r="K4" s="9"/>
    </row>
    <row r="5" spans="1:11" ht="16.5" x14ac:dyDescent="0.25">
      <c r="J5" s="9" t="s">
        <v>31</v>
      </c>
      <c r="K5" s="9"/>
    </row>
    <row r="6" spans="1:11" ht="16.5" x14ac:dyDescent="0.25">
      <c r="J6" s="9" t="s">
        <v>31</v>
      </c>
      <c r="K6" s="9"/>
    </row>
    <row r="7" spans="1:11" ht="16.5" x14ac:dyDescent="0.25">
      <c r="J7" s="9" t="s">
        <v>31</v>
      </c>
      <c r="K7" s="9"/>
    </row>
    <row r="8" spans="1:11" ht="16.5" x14ac:dyDescent="0.25">
      <c r="J8" s="9" t="s">
        <v>31</v>
      </c>
      <c r="K8" s="9"/>
    </row>
    <row r="9" spans="1:11" ht="24.75" customHeight="1" x14ac:dyDescent="0.25">
      <c r="J9" s="9" t="s">
        <v>32</v>
      </c>
      <c r="K9" s="9"/>
    </row>
    <row r="10" spans="1:11" ht="16.5" customHeight="1" x14ac:dyDescent="0.25">
      <c r="A10" s="124" t="s">
        <v>27</v>
      </c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1" ht="16.5" customHeight="1" x14ac:dyDescent="0.25">
      <c r="A11" s="121" t="s">
        <v>0</v>
      </c>
      <c r="B11" s="121" t="s">
        <v>76</v>
      </c>
      <c r="C11" s="121" t="s">
        <v>24</v>
      </c>
      <c r="D11" s="121" t="s">
        <v>1</v>
      </c>
      <c r="E11" s="121"/>
      <c r="F11" s="121" t="s">
        <v>2</v>
      </c>
      <c r="G11" s="121" t="s">
        <v>3</v>
      </c>
      <c r="H11" s="121"/>
      <c r="I11" s="121"/>
      <c r="J11" s="121"/>
    </row>
    <row r="12" spans="1:11" ht="16.5" customHeight="1" x14ac:dyDescent="0.25">
      <c r="A12" s="121"/>
      <c r="B12" s="121"/>
      <c r="C12" s="121"/>
      <c r="D12" s="121"/>
      <c r="E12" s="121"/>
      <c r="F12" s="121"/>
      <c r="G12" s="121"/>
      <c r="H12" s="121"/>
      <c r="I12" s="121"/>
      <c r="J12" s="121"/>
    </row>
    <row r="13" spans="1:11" ht="30" customHeight="1" x14ac:dyDescent="0.25">
      <c r="A13" s="121"/>
      <c r="B13" s="121"/>
      <c r="C13" s="121"/>
      <c r="D13" s="43" t="s">
        <v>125</v>
      </c>
      <c r="E13" s="79" t="s">
        <v>35</v>
      </c>
      <c r="F13" s="121"/>
      <c r="G13" s="79" t="s">
        <v>5</v>
      </c>
      <c r="H13" s="79" t="s">
        <v>6</v>
      </c>
      <c r="I13" s="79" t="s">
        <v>7</v>
      </c>
      <c r="J13" s="79" t="s">
        <v>8</v>
      </c>
    </row>
    <row r="14" spans="1:11" ht="16.5" customHeight="1" x14ac:dyDescent="0.25">
      <c r="A14" s="79">
        <v>1</v>
      </c>
      <c r="B14" s="79">
        <v>2</v>
      </c>
      <c r="C14" s="79">
        <v>3</v>
      </c>
      <c r="D14" s="43">
        <v>4</v>
      </c>
      <c r="E14" s="79">
        <v>5</v>
      </c>
      <c r="F14" s="79">
        <v>6</v>
      </c>
      <c r="G14" s="79">
        <v>7</v>
      </c>
      <c r="H14" s="79">
        <v>8</v>
      </c>
      <c r="I14" s="79">
        <v>9</v>
      </c>
      <c r="J14" s="79">
        <v>10</v>
      </c>
    </row>
    <row r="15" spans="1:11" ht="64.5" customHeight="1" x14ac:dyDescent="0.25">
      <c r="A15" s="52" t="s">
        <v>9</v>
      </c>
      <c r="B15" s="52"/>
      <c r="C15" s="52"/>
      <c r="D15" s="44"/>
      <c r="E15" s="52"/>
      <c r="F15" s="52"/>
      <c r="G15" s="79"/>
      <c r="H15" s="79"/>
      <c r="I15" s="79"/>
      <c r="J15" s="79"/>
    </row>
    <row r="16" spans="1:11" ht="16.5" customHeight="1" x14ac:dyDescent="0.25">
      <c r="A16" s="52" t="s">
        <v>69</v>
      </c>
      <c r="B16" s="45" t="s">
        <v>77</v>
      </c>
      <c r="C16" s="45">
        <f>'[20]свод  новая форма год перераспр'!$F$10</f>
        <v>88152.76</v>
      </c>
      <c r="D16" s="46">
        <f>'[21]лист с дополнением'!$F$5</f>
        <v>89280.987000000008</v>
      </c>
      <c r="E16" s="45">
        <f>'[20]свод  новая форма год перераспр'!$E$10</f>
        <v>86407.674999999988</v>
      </c>
      <c r="F16" s="45">
        <f>'[20]свод  новая форма год перераспр'!$D$10</f>
        <v>81986.120959999986</v>
      </c>
      <c r="G16" s="47">
        <f>'[20]свод  новая форма год перераспр'!$G$10+'[20]свод  новая форма год перераспр'!$J$10+'[20]свод  новая форма год перераспр'!$M$10</f>
        <v>25122.446409519558</v>
      </c>
      <c r="H16" s="47">
        <f>'[20]свод  новая форма год перераспр'!$P$10+'[20]свод  новая форма год перераспр'!$S$10+'[20]свод  новая форма год перераспр'!$V$10</f>
        <v>18325.171251571854</v>
      </c>
      <c r="I16" s="47">
        <f>'[20]свод  новая форма год перераспр'!$Y$10+'[20]свод  новая форма год перераспр'!$AB$10+'[20]свод  новая форма год перераспр'!$AE$10</f>
        <v>12399.648143887724</v>
      </c>
      <c r="J16" s="47">
        <f>'[20]свод  новая форма год перераспр'!$AH$10+'[20]свод  новая форма год перераспр'!$AK$10+'[20]свод  новая форма год перераспр'!$AN$10</f>
        <v>26138.85515502085</v>
      </c>
    </row>
    <row r="17" spans="1:10" ht="20.25" customHeight="1" x14ac:dyDescent="0.25">
      <c r="A17" s="52" t="s">
        <v>70</v>
      </c>
      <c r="B17" s="45" t="s">
        <v>78</v>
      </c>
      <c r="C17" s="45">
        <f>'[20]свод  новая форма год перераспр'!$F$14</f>
        <v>747073.36500000011</v>
      </c>
      <c r="D17" s="46">
        <f>'[21]лист с дополнением'!$F$31</f>
        <v>804300</v>
      </c>
      <c r="E17" s="45">
        <f>'[20]свод  новая форма год перераспр'!$E$14</f>
        <v>666340.9169999999</v>
      </c>
      <c r="F17" s="45">
        <f>'[20]свод  новая форма год перераспр'!$D$14</f>
        <v>702637.99999999988</v>
      </c>
      <c r="G17" s="47">
        <f>'[20]свод  новая форма год перераспр'!$G$14+'[20]свод  новая форма год перераспр'!$J$14+'[20]свод  новая форма год перераспр'!$M$14</f>
        <v>175659.5</v>
      </c>
      <c r="H17" s="47">
        <f>'[20]свод  новая форма год перераспр'!$P$14+'[20]свод  новая форма год перераспр'!$S$14+'[20]свод  новая форма год перераспр'!$V$14</f>
        <v>175659.5</v>
      </c>
      <c r="I17" s="47">
        <f>'[20]свод  новая форма год перераспр'!$Y$14+'[20]свод  новая форма год перераспр'!$AB$14+'[20]свод  новая форма год перераспр'!$AE$14</f>
        <v>175659.5</v>
      </c>
      <c r="J17" s="47">
        <f>'[20]свод  новая форма год перераспр'!$AH$14+'[20]свод  новая форма год перераспр'!$AK$14+'[20]свод  новая форма год перераспр'!$AN$14</f>
        <v>175659.5</v>
      </c>
    </row>
    <row r="18" spans="1:10" ht="20.25" customHeight="1" x14ac:dyDescent="0.25">
      <c r="A18" s="52" t="s">
        <v>71</v>
      </c>
      <c r="B18" s="45" t="s">
        <v>78</v>
      </c>
      <c r="C18" s="45">
        <f>'[20]свод  новая форма год перераспр'!$F$18</f>
        <v>730477.36199999996</v>
      </c>
      <c r="D18" s="46">
        <f>'[21]лист с дополнением'!$F$46</f>
        <v>804300</v>
      </c>
      <c r="E18" s="45">
        <f>'[20]свод  новая форма год перераспр'!$E$18</f>
        <v>645468.97699999996</v>
      </c>
      <c r="F18" s="45">
        <f>'[20]свод  новая форма год перераспр'!$D$18</f>
        <v>668140.19999999984</v>
      </c>
      <c r="G18" s="47">
        <f>'[20]свод  новая форма год перераспр'!$G$18+'[20]свод  новая форма год перераспр'!$J$18+'[20]свод  новая форма год перераспр'!$M$18</f>
        <v>166705.04999999999</v>
      </c>
      <c r="H18" s="47">
        <f>'[20]свод  новая форма год перераспр'!$P$18+'[20]свод  новая форма год перераспр'!$S$18+'[20]свод  новая форма год перераспр'!$V$18</f>
        <v>166705.04999999999</v>
      </c>
      <c r="I18" s="47">
        <f>'[20]свод  новая форма год перераспр'!$Y$18+'[20]свод  новая форма год перераспр'!$AB$18+'[20]свод  новая форма год перераспр'!$AE$18</f>
        <v>167365.04999999999</v>
      </c>
      <c r="J18" s="47">
        <f>'[20]свод  новая форма год перераспр'!$AH$18+'[20]свод  новая форма год перераспр'!$AK$18+'[20]свод  новая форма год перераспр'!$AN$18</f>
        <v>167365.04999999999</v>
      </c>
    </row>
    <row r="19" spans="1:10" ht="16.5" customHeight="1" x14ac:dyDescent="0.25">
      <c r="A19" s="52" t="s">
        <v>72</v>
      </c>
      <c r="B19" s="45" t="s">
        <v>79</v>
      </c>
      <c r="C19" s="45">
        <f>'[20]свод  новая форма год перераспр'!$F$22</f>
        <v>9383.5360000000001</v>
      </c>
      <c r="D19" s="46">
        <f>[22]Лист1!$D$169</f>
        <v>9777.3739999999998</v>
      </c>
      <c r="E19" s="45">
        <f>'[20]свод  новая форма год перераспр'!$E$22</f>
        <v>9412.3179999999993</v>
      </c>
      <c r="F19" s="45">
        <f>'[20]свод  новая форма год перераспр'!$D$22</f>
        <v>10054</v>
      </c>
      <c r="G19" s="47">
        <f>'[20]свод  новая форма год перераспр'!$G$22+'[20]свод  новая форма год перераспр'!$J$22+'[20]свод  новая форма год перераспр'!$M$22</f>
        <v>2749</v>
      </c>
      <c r="H19" s="47">
        <f>'[20]свод  новая форма год перераспр'!$P$22+'[20]свод  новая форма год перераспр'!$S$22+'[20]свод  новая форма год перераспр'!$V$22</f>
        <v>2216</v>
      </c>
      <c r="I19" s="47">
        <f>'[20]свод  новая форма год перераспр'!$Y$22+'[20]свод  новая форма год перераспр'!$AB$22+'[20]свод  новая форма год перераспр'!$AE$22</f>
        <v>2255</v>
      </c>
      <c r="J19" s="47">
        <f>'[20]свод  новая форма год перераспр'!$AH$22+'[20]свод  новая форма год перераспр'!$AK$22+'[20]свод  новая форма год перераспр'!$AN$22</f>
        <v>2834</v>
      </c>
    </row>
    <row r="20" spans="1:10" ht="16.5" customHeight="1" x14ac:dyDescent="0.25">
      <c r="A20" s="52" t="s">
        <v>73</v>
      </c>
      <c r="B20" s="45" t="s">
        <v>78</v>
      </c>
      <c r="C20" s="45">
        <f>'[20]свод  новая форма год перераспр'!$F$26</f>
        <v>19243.466400000001</v>
      </c>
      <c r="D20" s="46">
        <f>'[21]лист с дополнением'!$F$63</f>
        <v>19760</v>
      </c>
      <c r="E20" s="45">
        <f>'[20]свод  новая форма год перераспр'!$E$26</f>
        <v>21047.367707984973</v>
      </c>
      <c r="F20" s="45">
        <f>'[20]свод  новая форма год перераспр'!$D$26</f>
        <v>23825.123707984978</v>
      </c>
      <c r="G20" s="47">
        <f>'[20]свод  новая форма год перераспр'!$G$26+'[20]свод  новая форма год перераспр'!$J$26+'[20]свод  новая форма год перераспр'!$M$26</f>
        <v>5316.4227079849752</v>
      </c>
      <c r="H20" s="47">
        <f>'[20]свод  новая форма год перераспр'!$P$26+'[20]свод  новая форма год перераспр'!$S$26+'[20]свод  новая форма год перераспр'!$V$26</f>
        <v>6078.6839999999993</v>
      </c>
      <c r="I20" s="47">
        <f>'[20]свод  новая форма год перераспр'!$Y$26+'[20]свод  новая форма год перераспр'!$AB$26+'[20]свод  новая форма год перераспр'!$AE$26</f>
        <v>6716.5190000000002</v>
      </c>
      <c r="J20" s="47">
        <f>'[20]свод  новая форма год перераспр'!$AH$26+'[20]свод  новая форма год перераспр'!$AK$26+'[20]свод  новая форма год перераспр'!$AN$26</f>
        <v>5713.4980000000005</v>
      </c>
    </row>
    <row r="21" spans="1:10" ht="31.5" customHeight="1" x14ac:dyDescent="0.25">
      <c r="A21" s="52" t="s">
        <v>74</v>
      </c>
      <c r="B21" s="45" t="s">
        <v>80</v>
      </c>
      <c r="C21" s="45">
        <f>'[20]свод  новая форма год перераспр'!$F$30*1000</f>
        <v>199728.07</v>
      </c>
      <c r="D21" s="46">
        <f>'[21]лист с дополнением'!$F$70</f>
        <v>200191</v>
      </c>
      <c r="E21" s="45">
        <f>'[20]свод  новая форма год перераспр'!$E$30*1000</f>
        <v>200787.38</v>
      </c>
      <c r="F21" s="45">
        <f>'[20]свод  новая форма год перераспр'!$D$30*1000</f>
        <v>207547.79</v>
      </c>
      <c r="G21" s="45">
        <f>F21</f>
        <v>207547.79</v>
      </c>
      <c r="H21" s="45">
        <f>F21</f>
        <v>207547.79</v>
      </c>
      <c r="I21" s="45">
        <f>F21</f>
        <v>207547.79</v>
      </c>
      <c r="J21" s="45">
        <f>F21</f>
        <v>207547.79</v>
      </c>
    </row>
    <row r="22" spans="1:10" ht="16.5" customHeight="1" x14ac:dyDescent="0.25">
      <c r="A22" s="52" t="s">
        <v>75</v>
      </c>
      <c r="B22" s="52"/>
      <c r="C22" s="52"/>
      <c r="D22" s="44"/>
      <c r="E22" s="52"/>
      <c r="F22" s="52"/>
      <c r="G22" s="79"/>
      <c r="H22" s="79"/>
      <c r="I22" s="79"/>
      <c r="J22" s="79"/>
    </row>
    <row r="23" spans="1:10" ht="39" customHeight="1" x14ac:dyDescent="0.25">
      <c r="A23" s="52" t="s">
        <v>88</v>
      </c>
      <c r="B23" s="45" t="s">
        <v>81</v>
      </c>
      <c r="C23" s="48">
        <f>C24+C32</f>
        <v>189602.48436067795</v>
      </c>
      <c r="D23" s="49">
        <f t="shared" ref="D23:J23" si="0">D24+D32</f>
        <v>180709.7</v>
      </c>
      <c r="E23" s="48">
        <f t="shared" si="0"/>
        <v>176057.03147779661</v>
      </c>
      <c r="F23" s="48">
        <f t="shared" si="0"/>
        <v>186956.60061075952</v>
      </c>
      <c r="G23" s="50">
        <f t="shared" si="0"/>
        <v>45516.43990162955</v>
      </c>
      <c r="H23" s="50">
        <f t="shared" si="0"/>
        <v>40228.662107428914</v>
      </c>
      <c r="I23" s="50">
        <f t="shared" si="0"/>
        <v>39808.224053046019</v>
      </c>
      <c r="J23" s="50">
        <f t="shared" si="0"/>
        <v>61403.274548655027</v>
      </c>
    </row>
    <row r="24" spans="1:10" ht="43.5" customHeight="1" x14ac:dyDescent="0.25">
      <c r="A24" s="52" t="s">
        <v>89</v>
      </c>
      <c r="B24" s="45"/>
      <c r="C24" s="48">
        <f>SUM(C25:C31)</f>
        <v>156309.97244067796</v>
      </c>
      <c r="D24" s="49">
        <f t="shared" ref="D24:J24" si="1">D25+D26+D27+D28+D29+D31+D30</f>
        <v>180709.7</v>
      </c>
      <c r="E24" s="48">
        <f>SUM(E25:E31)</f>
        <v>169135.4550677966</v>
      </c>
      <c r="F24" s="48">
        <f>SUM(F25:F31)</f>
        <v>176400.15452216804</v>
      </c>
      <c r="G24" s="50">
        <f t="shared" si="1"/>
        <v>45129.326468904124</v>
      </c>
      <c r="H24" s="50">
        <f t="shared" si="1"/>
        <v>39939.345284872979</v>
      </c>
      <c r="I24" s="50">
        <f t="shared" si="1"/>
        <v>39318.216136390969</v>
      </c>
      <c r="J24" s="50">
        <f t="shared" si="1"/>
        <v>52013.26663199997</v>
      </c>
    </row>
    <row r="25" spans="1:10" ht="16.5" customHeight="1" x14ac:dyDescent="0.25">
      <c r="A25" s="52" t="s">
        <v>69</v>
      </c>
      <c r="B25" s="45"/>
      <c r="C25" s="45">
        <f>'[20]свод  новая форма год перераспр'!$F$9</f>
        <v>66664.573745762711</v>
      </c>
      <c r="D25" s="51">
        <v>77714.799999999988</v>
      </c>
      <c r="E25" s="45">
        <f>'[20]свод  новая форма год перераспр'!$E$9</f>
        <v>73409.805483050848</v>
      </c>
      <c r="F25" s="45">
        <f>'[20]свод  новая форма год перераспр'!$D$9</f>
        <v>73125.339442464159</v>
      </c>
      <c r="G25" s="47">
        <f>'[20]свод  новая форма год перераспр'!$G$9+'[20]свод  новая форма год перераспр'!$J$9+'[20]свод  новая форма год перераспр'!$M$9</f>
        <v>21341.518224886866</v>
      </c>
      <c r="H25" s="47">
        <f>'[20]свод  новая форма год перераспр'!$P$9+'[20]свод  новая форма год перераспр'!$S$9+'[20]свод  новая форма год перераспр'!$V$9</f>
        <v>15567.23297821029</v>
      </c>
      <c r="I25" s="47">
        <f>'[20]свод  новая форма год перераспр'!$Y$9+'[20]свод  новая форма год перераспр'!$AB$9+'[20]свод  новая форма год перераспр'!$AE$9</f>
        <v>11361.150872457671</v>
      </c>
      <c r="J25" s="47">
        <f>'[20]свод  новая форма год перераспр'!$AH$9+'[20]свод  новая форма год перераспр'!$AK$9+'[20]свод  новая форма год перераспр'!$AN$9</f>
        <v>24855.437366909326</v>
      </c>
    </row>
    <row r="26" spans="1:10" x14ac:dyDescent="0.25">
      <c r="A26" s="52" t="s">
        <v>70</v>
      </c>
      <c r="B26" s="45"/>
      <c r="C26" s="45">
        <f>'[20]свод  новая форма год перераспр'!$F$13</f>
        <v>14962.8226779661</v>
      </c>
      <c r="D26" s="46">
        <v>18314.399999999998</v>
      </c>
      <c r="E26" s="45">
        <f>'[20]свод  новая форма год перераспр'!$E$13</f>
        <v>15133.622754237289</v>
      </c>
      <c r="F26" s="45">
        <f>'[20]свод  новая форма год перераспр'!$D$13</f>
        <v>16726.297589999995</v>
      </c>
      <c r="G26" s="47">
        <f>'[20]свод  новая форма год перераспр'!$G$13+'[20]свод  новая форма год перераспр'!$J$13+'[20]свод  новая форма год перераспр'!$M$13</f>
        <v>3980.44427</v>
      </c>
      <c r="H26" s="47">
        <f>'[20]свод  новая форма год перераспр'!$P$13+'[20]свод  новая форма год перераспр'!$S$13+'[20]свод  новая форма год перераспр'!$V$13</f>
        <v>3980.44427</v>
      </c>
      <c r="I26" s="47">
        <f>'[20]свод  новая форма год перераспр'!$Y$13+'[20]свод  новая форма год перераспр'!$AB$13+'[20]свод  новая форма год перераспр'!$AE$13</f>
        <v>4300.1445599999997</v>
      </c>
      <c r="J26" s="47">
        <f>'[20]свод  новая форма год перераспр'!$AH$13+'[20]свод  новая форма год перераспр'!$AK$13+'[20]свод  новая форма год перераспр'!$AN$13</f>
        <v>4465.2644899999996</v>
      </c>
    </row>
    <row r="27" spans="1:10" ht="21" customHeight="1" x14ac:dyDescent="0.25">
      <c r="A27" s="52" t="s">
        <v>71</v>
      </c>
      <c r="B27" s="45"/>
      <c r="C27" s="45">
        <f>'[20]свод  новая форма год перераспр'!$F$17</f>
        <v>21508.710822033903</v>
      </c>
      <c r="D27" s="46">
        <v>23819</v>
      </c>
      <c r="E27" s="45">
        <f>'[20]свод  новая форма год перераспр'!$E$17</f>
        <v>21960.85066101695</v>
      </c>
      <c r="F27" s="45">
        <f>'[20]свод  новая форма год перераспр'!$D$17</f>
        <v>23311.959096723163</v>
      </c>
      <c r="G27" s="47">
        <f>'[20]свод  новая форма год перераспр'!$G$17+'[20]свод  новая форма год перераспр'!$J$17+'[20]свод  новая форма год перераспр'!$M$17</f>
        <v>5594.6503840395471</v>
      </c>
      <c r="H27" s="47">
        <f>'[20]свод  новая форма год перераспр'!$P$17+'[20]свод  новая форма год перераспр'!$S$17+'[20]свод  новая форма год перераспр'!$V$17</f>
        <v>5594.6503840395471</v>
      </c>
      <c r="I27" s="47">
        <f>'[20]свод  новая форма год перераспр'!$Y$17+'[20]свод  новая форма год перераспр'!$AB$17+'[20]свод  новая форма год перераспр'!$AE$17</f>
        <v>6005.7657776553669</v>
      </c>
      <c r="J27" s="47">
        <f>'[20]свод  новая форма год перераспр'!$AH$17+'[20]свод  новая форма год перераспр'!$AK$17+'[20]свод  новая форма год перераспр'!$AN$17</f>
        <v>6116.8925509886994</v>
      </c>
    </row>
    <row r="28" spans="1:10" ht="18" customHeight="1" x14ac:dyDescent="0.25">
      <c r="A28" s="52" t="s">
        <v>72</v>
      </c>
      <c r="B28" s="45"/>
      <c r="C28" s="45">
        <f>'[20]свод  новая форма год перераспр'!$F$21</f>
        <v>9330.8898135593226</v>
      </c>
      <c r="D28" s="46">
        <v>12420.400000000001</v>
      </c>
      <c r="E28" s="45">
        <f>'[20]свод  новая форма год перераспр'!$E$21</f>
        <v>9849.4511949152529</v>
      </c>
      <c r="F28" s="45">
        <f>'[20]свод  новая форма год перераспр'!$D$21</f>
        <v>10611.262075510582</v>
      </c>
      <c r="G28" s="47">
        <f>'[20]свод  новая форма год перераспр'!$G$21+'[20]свод  новая форма год перераспр'!$J$21+'[20]свод  новая форма год перераспр'!$M$21</f>
        <v>2913.4413265910835</v>
      </c>
      <c r="H28" s="47">
        <f>'[20]свод  новая форма год перераспр'!$P$21+'[20]свод  новая форма год перераспр'!$S$21+'[20]свод  новая форма год перераспр'!$V$21</f>
        <v>2334.0362933849669</v>
      </c>
      <c r="I28" s="47">
        <f>'[20]свод  новая форма год перераспр'!$Y$21+'[20]свод  новая форма год перераспр'!$AB$21+'[20]свод  новая форма год перераспр'!$AE$21</f>
        <v>2372.0616369389008</v>
      </c>
      <c r="J28" s="47">
        <f>'[20]свод  новая форма год перераспр'!$AH$21+'[20]свод  новая форма год перераспр'!$AK$21+'[20]свод  новая форма год перераспр'!$AN$21</f>
        <v>2991.7228185956296</v>
      </c>
    </row>
    <row r="29" spans="1:10" ht="18" customHeight="1" x14ac:dyDescent="0.25">
      <c r="A29" s="52" t="s">
        <v>73</v>
      </c>
      <c r="B29" s="45"/>
      <c r="C29" s="45">
        <f>'[20]свод  новая форма год перераспр'!$F$25</f>
        <v>6117.8232203389834</v>
      </c>
      <c r="D29" s="46">
        <v>6994.1999999999989</v>
      </c>
      <c r="E29" s="45">
        <f>'[20]свод  новая форма год перераспр'!$E$25</f>
        <v>7368.6353559322024</v>
      </c>
      <c r="F29" s="45">
        <f>'[20]свод  новая форма год перераспр'!$D$25</f>
        <v>8764.0504051723456</v>
      </c>
      <c r="G29" s="47">
        <f>'[20]свод  новая форма год перераспр'!$G$25+'[20]свод  новая форма год перераспр'!$J$25+'[20]свод  новая форма год перераспр'!$M$25</f>
        <v>1859.1530209823459</v>
      </c>
      <c r="H29" s="47">
        <f>'[20]свод  новая форма год перераспр'!$P$25+'[20]свод  новая форма год перераспр'!$S$25+'[20]свод  новая форма год перераспр'!$V$25</f>
        <v>2125.7157947999999</v>
      </c>
      <c r="I29" s="47">
        <f>'[20]свод  новая форма год перераспр'!$Y$25+'[20]свод  новая форма год перераспр'!$AB$25+'[20]свод  новая форма год перераспр'!$AE$25</f>
        <v>2583.6433637300001</v>
      </c>
      <c r="J29" s="47">
        <f>'[20]свод  новая форма год перераспр'!$AH$25+'[20]свод  новая форма год перераспр'!$AK$25+'[20]свод  новая форма год перераспр'!$AN$25</f>
        <v>2195.5382256600005</v>
      </c>
    </row>
    <row r="30" spans="1:10" ht="24" customHeight="1" x14ac:dyDescent="0.25">
      <c r="A30" s="52" t="s">
        <v>74</v>
      </c>
      <c r="B30" s="45"/>
      <c r="C30" s="45">
        <f>'[20]свод  новая форма год перераспр'!$F$29</f>
        <v>30112.897042372882</v>
      </c>
      <c r="D30" s="46">
        <v>34396.80000000001</v>
      </c>
      <c r="E30" s="45">
        <f>'[20]свод  новая форма год перераспр'!$E$29</f>
        <v>33263.712686440675</v>
      </c>
      <c r="F30" s="45">
        <f>'[20]свод  новая форма год перераспр'!$D$29</f>
        <v>37063.368081000008</v>
      </c>
      <c r="G30" s="47">
        <f>'[20]свод  новая форма год перераспр'!$G$29+'[20]свод  новая форма год перераспр'!$J$29+'[20]свод  новая форма год перераспр'!$M$29</f>
        <v>8740.7360811899998</v>
      </c>
      <c r="H30" s="47">
        <f>'[20]свод  новая форма год перераспр'!$P$29+'[20]свод  новая форма год перераспр'!$S$29+'[20]свод  новая форма год перераспр'!$V$29</f>
        <v>8740.7360811899998</v>
      </c>
      <c r="I30" s="47">
        <f>'[20]свод  новая форма год перераспр'!$Y$29+'[20]свод  новая форма год перераспр'!$AB$29+'[20]свод  новая форма год перераспр'!$AE$29</f>
        <v>9790.9479593100004</v>
      </c>
      <c r="J30" s="47">
        <f>'[20]свод  новая форма год перераспр'!$AH$29+'[20]свод  новая форма год перераспр'!$AK$29+'[20]свод  новая форма год перераспр'!$AN$29</f>
        <v>9790.9479593100004</v>
      </c>
    </row>
    <row r="31" spans="1:10" ht="24.75" customHeight="1" x14ac:dyDescent="0.25">
      <c r="A31" s="52" t="s">
        <v>75</v>
      </c>
      <c r="B31" s="52"/>
      <c r="C31" s="45">
        <f>'[20]свод  новая форма год перераспр'!$F$32</f>
        <v>7612.2551186440696</v>
      </c>
      <c r="D31" s="46">
        <v>7050.0999999999995</v>
      </c>
      <c r="E31" s="45">
        <f>'[20]свод  новая форма год перераспр'!$E$32</f>
        <v>8149.3769322033886</v>
      </c>
      <c r="F31" s="45">
        <f>'[20]свод  новая форма год перераспр'!$D$32</f>
        <v>6797.8778312978038</v>
      </c>
      <c r="G31" s="47">
        <f>'[20]свод  новая форма год перераспр'!$G$32+'[20]свод  новая форма год перераспр'!$J$32+'[20]свод  новая форма год перераспр'!$M$32</f>
        <v>699.38316121428147</v>
      </c>
      <c r="H31" s="47">
        <f>'[20]свод  новая форма год перераспр'!$P$32+'[20]свод  новая форма год перераспр'!$S$32+'[20]свод  новая форма год перераспр'!$V$32</f>
        <v>1596.52948324818</v>
      </c>
      <c r="I31" s="47">
        <f>'[20]свод  новая форма год перераспр'!$Y$32+'[20]свод  новая форма год перераспр'!$AB$32+'[20]свод  новая форма год перераспр'!$AE$32</f>
        <v>2904.5019662990276</v>
      </c>
      <c r="J31" s="47">
        <f>'[20]свод  новая форма год перераспр'!$AH$32+'[20]свод  новая форма год перераспр'!$AK$32+'[20]свод  новая форма год перераспр'!$AN$32</f>
        <v>1597.4632205363155</v>
      </c>
    </row>
    <row r="32" spans="1:10" ht="28.5" x14ac:dyDescent="0.25">
      <c r="A32" s="52" t="s">
        <v>10</v>
      </c>
      <c r="B32" s="52"/>
      <c r="C32" s="45">
        <f>'[20]свод  новая форма год перераспр'!$F$62</f>
        <v>33292.511920000004</v>
      </c>
      <c r="D32" s="44"/>
      <c r="E32" s="45">
        <f>'[20]свод  новая форма год перераспр'!$E$62</f>
        <v>6921.5764099999997</v>
      </c>
      <c r="F32" s="45">
        <f>'[20]свод  новая форма год перераспр'!$D$62</f>
        <v>10556.44608859146</v>
      </c>
      <c r="G32" s="47">
        <f>'[20]свод  новая форма год перераспр'!$G$62+'[20]свод  новая форма год перераспр'!$J$62+'[20]свод  новая форма год перераспр'!$M$62</f>
        <v>387.11343272542376</v>
      </c>
      <c r="H32" s="47">
        <f>'[20]свод  новая форма год перераспр'!$P$62+'[20]свод  новая форма год перераспр'!$S$62+'[20]свод  новая форма год перераспр'!$V$62</f>
        <v>289.31682255593222</v>
      </c>
      <c r="I32" s="47">
        <f>'[20]свод  новая форма год перераспр'!$Y$62+'[20]свод  новая форма год перераспр'!$AB$62+'[20]свод  новая форма год перераспр'!$AE$62</f>
        <v>490.00791665505085</v>
      </c>
      <c r="J32" s="47">
        <f>'[20]свод  новая форма год перераспр'!$AH$62+'[20]свод  новая форма год перераспр'!$AK$62+'[20]свод  новая форма год перераспр'!$AN$62</f>
        <v>9390.0079166550531</v>
      </c>
    </row>
    <row r="33" spans="1:10" ht="57" x14ac:dyDescent="0.25">
      <c r="A33" s="52" t="s">
        <v>92</v>
      </c>
      <c r="B33" s="45" t="s">
        <v>81</v>
      </c>
      <c r="C33" s="45">
        <f>C34+C40</f>
        <v>188347.74604914218</v>
      </c>
      <c r="D33" s="46">
        <f>D34+D40</f>
        <v>174968</v>
      </c>
      <c r="E33" s="45">
        <f>E34+E40</f>
        <v>174287.54880299998</v>
      </c>
      <c r="F33" s="45">
        <f>F34+F40</f>
        <v>182738.2986653382</v>
      </c>
      <c r="G33" s="47">
        <f t="shared" ref="G33:J33" si="2">G34+G40</f>
        <v>47772.252082131366</v>
      </c>
      <c r="H33" s="47">
        <f t="shared" si="2"/>
        <v>37121.363776708909</v>
      </c>
      <c r="I33" s="47">
        <f t="shared" si="2"/>
        <v>39031.81189487916</v>
      </c>
      <c r="J33" s="47">
        <f t="shared" si="2"/>
        <v>58812.870911618797</v>
      </c>
    </row>
    <row r="34" spans="1:10" ht="28.5" x14ac:dyDescent="0.25">
      <c r="A34" s="52" t="s">
        <v>82</v>
      </c>
      <c r="B34" s="52"/>
      <c r="C34" s="45">
        <f>'[20]свод  новая форма год перераспр'!$F$34</f>
        <v>151647.67642914219</v>
      </c>
      <c r="D34" s="46">
        <v>174968</v>
      </c>
      <c r="E34" s="45">
        <f>'[23]Основное производство'!$DI$244</f>
        <v>165938.94775299999</v>
      </c>
      <c r="F34" s="45">
        <f>[24]СВОД!$Z$242/1000</f>
        <v>171991.25671618566</v>
      </c>
      <c r="G34" s="47">
        <f>([24]СВОД!$B$242+[24]СВОД!$D$242+[24]СВОД!$F$242)/1000</f>
        <v>47313.109861792385</v>
      </c>
      <c r="H34" s="47">
        <f>([24]СВОД!$H$242+[24]СВОД!$J$242+[24]СВОД!$L$242)/1000</f>
        <v>36658.765471624167</v>
      </c>
      <c r="I34" s="47">
        <f>([24]СВОД!$N$242+[24]СВОД!$P$242+[24]СВОД!$R$242)/1000</f>
        <v>38634.880538946956</v>
      </c>
      <c r="J34" s="47">
        <f>([24]СВОД!$T$242+[24]СВОД!$V$242+[24]СВОД!$X$242)/1000</f>
        <v>49384.500843822185</v>
      </c>
    </row>
    <row r="35" spans="1:10" ht="42.75" x14ac:dyDescent="0.25">
      <c r="A35" s="52" t="s">
        <v>110</v>
      </c>
      <c r="B35" s="52"/>
      <c r="C35" s="45">
        <f>'[23]Основное производство'!$DJ$86+'[23]Основное производство'!$DJ$137</f>
        <v>72429.598535604746</v>
      </c>
      <c r="D35" s="46">
        <v>79769.2</v>
      </c>
      <c r="E35" s="45">
        <f>'[23]Основное производство'!$DI$86+'[23]Основное производство'!$DI$137</f>
        <v>72272.385550000006</v>
      </c>
      <c r="F35" s="45">
        <f>([24]СВОД!$Z$106+[24]СВОД!$Z$155-[24]СВОД!$Z$165)/1000</f>
        <v>77473.25000378197</v>
      </c>
      <c r="G35" s="47">
        <f>([24]СВОД!$B$106+[24]СВОД!$D$106+[24]СВОД!$F$106)/1000+([24]СВОД!$B$155-[24]СВОД!$B$165+[24]СВОД!$D$155-[24]СВОД!$D$165+[24]СВОД!$F$155-[24]СВОД!$F$165)/1000</f>
        <v>25404.453399689137</v>
      </c>
      <c r="H35" s="47">
        <f>([24]СВОД!$H$106+[24]СВОД!$J$106+[24]СВОД!$L$106)/1000+([24]СВОД!$H$155-[24]СВОД!$H$165+[24]СВОД!$J$155-[24]СВОД!$J$165+[24]СВОД!$L$155-[24]СВОД!$L$165)/1000</f>
        <v>14757.368055525601</v>
      </c>
      <c r="I35" s="47">
        <f>([24]СВОД!$N$106+[24]СВОД!$P$106+[24]СВОД!$R$106)/1000+([24]СВОД!$N$155-[24]СВОД!$N$165+[24]СВОД!$P$155-[24]СВОД!$P$165+[24]СВОД!$R$155-[24]СВОД!$R$165)/1000</f>
        <v>13126.977514592088</v>
      </c>
      <c r="J35" s="47">
        <f>([24]СВОД!$T$106+[24]СВОД!$V$106+[24]СВОД!$X$106)/1000+([24]СВОД!$T$155-[24]СВОД!$T$165+[24]СВОД!$V$155-[24]СВОД!$V$165+[24]СВОД!$X$155-[24]СВОД!$X$165)/1000</f>
        <v>24184.45103397515</v>
      </c>
    </row>
    <row r="36" spans="1:10" x14ac:dyDescent="0.25">
      <c r="A36" s="52" t="s">
        <v>83</v>
      </c>
      <c r="B36" s="52"/>
      <c r="C36" s="45">
        <f>'[23]Основное производство'!$DJ$101</f>
        <v>44007.547867138834</v>
      </c>
      <c r="D36" s="46">
        <v>53757</v>
      </c>
      <c r="E36" s="45">
        <f>'[23]Основное производство'!$DI$101</f>
        <v>54172.520360000002</v>
      </c>
      <c r="F36" s="45">
        <f>[24]СВОД!$Z$125/1000</f>
        <v>53185.600551818177</v>
      </c>
      <c r="G36" s="47">
        <f>([24]СВОД!$B$125+[24]СВОД!$D$125+[24]СВОД!$F$125)/1000</f>
        <v>12777.309938636363</v>
      </c>
      <c r="H36" s="47">
        <f>([24]СВОД!$H$125+[24]СВОД!$J$125+[24]СВОД!$L$125)/1000</f>
        <v>12777.309938636363</v>
      </c>
      <c r="I36" s="47">
        <f>([24]СВОД!$N$125+[24]СВОД!$P$125+[24]СВОД!$R$125)/1000</f>
        <v>13815.490337272729</v>
      </c>
      <c r="J36" s="47">
        <f>([24]СВОД!$T$125+[24]СВОД!$V$125+[24]СВОД!$X$125)/1000</f>
        <v>13815.490337272729</v>
      </c>
    </row>
    <row r="37" spans="1:10" ht="28.5" x14ac:dyDescent="0.25">
      <c r="A37" s="52" t="s">
        <v>84</v>
      </c>
      <c r="B37" s="52"/>
      <c r="C37" s="45">
        <f>'[23]Основное производство'!$DJ$102</f>
        <v>11849.670257134614</v>
      </c>
      <c r="D37" s="46">
        <v>18384.8</v>
      </c>
      <c r="E37" s="45">
        <f>'[23]Основное производство'!$DI$102</f>
        <v>17618.493979999999</v>
      </c>
      <c r="F37" s="45">
        <f>[24]СВОД!$Z$126/1000</f>
        <v>18189.475388721818</v>
      </c>
      <c r="G37" s="47">
        <f>([24]СВОД!$B$126+[24]СВОД!$D$126+[24]СВОД!$F$126)/1000</f>
        <v>4369.8399990136368</v>
      </c>
      <c r="H37" s="47">
        <f>([24]СВОД!$H$126+[24]СВОД!$J$126+[24]СВОД!$L$126)/1000</f>
        <v>4369.8399990136368</v>
      </c>
      <c r="I37" s="47">
        <f>([24]СВОД!$N$126+[24]СВОД!$P$126+[24]СВОД!$R$126)/1000</f>
        <v>4724.8976953472729</v>
      </c>
      <c r="J37" s="47">
        <f>([24]СВОД!$T$126+[24]СВОД!$V$126+[24]СВОД!$X$126)/1000</f>
        <v>4724.8976953472729</v>
      </c>
    </row>
    <row r="38" spans="1:10" ht="17.25" customHeight="1" x14ac:dyDescent="0.25">
      <c r="A38" s="52" t="s">
        <v>85</v>
      </c>
      <c r="B38" s="52"/>
      <c r="C38" s="45">
        <f>'[23]Основное производство'!$DJ$219</f>
        <v>2486.5467036584023</v>
      </c>
      <c r="D38" s="46">
        <v>1389.5</v>
      </c>
      <c r="E38" s="45">
        <f>'[23]Основное производство'!$DI$219</f>
        <v>3365.1365900000005</v>
      </c>
      <c r="F38" s="45">
        <f>[24]СВОД!$Z$240/1000</f>
        <v>3491.0498399999992</v>
      </c>
      <c r="G38" s="47">
        <f>([24]СВОД!$B$240+[24]СВОД!$D$240+[24]СВОД!$F$240)/1000</f>
        <v>872.76245999999992</v>
      </c>
      <c r="H38" s="47">
        <f>([24]СВОД!$H$240+[24]СВОД!$J$240+[24]СВОД!$L$240)/1000</f>
        <v>872.76245999999992</v>
      </c>
      <c r="I38" s="47">
        <f>([24]СВОД!$N$240+[24]СВОД!$P$240+[24]СВОД!$R$240)/1000</f>
        <v>872.76245999999992</v>
      </c>
      <c r="J38" s="47">
        <f>([24]СВОД!$T$240+[24]СВОД!$V$240+[24]СВОД!$X$240)/1000</f>
        <v>872.76245999999992</v>
      </c>
    </row>
    <row r="39" spans="1:10" x14ac:dyDescent="0.25">
      <c r="A39" s="52" t="s">
        <v>86</v>
      </c>
      <c r="B39" s="52"/>
      <c r="C39" s="45">
        <f>C34-C35-C36-C37-C38</f>
        <v>20874.313065605591</v>
      </c>
      <c r="D39" s="46">
        <f>D34-D35-D36-D37-D38</f>
        <v>21667.500000000004</v>
      </c>
      <c r="E39" s="45">
        <f>E34-E35-E36-E37-E38</f>
        <v>18510.411272999976</v>
      </c>
      <c r="F39" s="45">
        <f>F34-F35-F36-F37-F38</f>
        <v>19651.880931863692</v>
      </c>
      <c r="G39" s="47">
        <f t="shared" ref="G39:J39" si="3">G34-G35-G36-G37-G38</f>
        <v>3888.7440644532489</v>
      </c>
      <c r="H39" s="47">
        <f t="shared" si="3"/>
        <v>3881.4850184485676</v>
      </c>
      <c r="I39" s="47">
        <f t="shared" si="3"/>
        <v>6094.7525317348673</v>
      </c>
      <c r="J39" s="47">
        <f t="shared" si="3"/>
        <v>5786.899317227032</v>
      </c>
    </row>
    <row r="40" spans="1:10" s="37" customFormat="1" ht="28.5" x14ac:dyDescent="0.25">
      <c r="A40" s="52" t="s">
        <v>11</v>
      </c>
      <c r="B40" s="52"/>
      <c r="C40" s="45">
        <f>'[20]свод  новая форма год перераспр'!$F$63</f>
        <v>36700.069620000002</v>
      </c>
      <c r="D40" s="46">
        <v>0</v>
      </c>
      <c r="E40" s="45">
        <f>'[23]Основное производство'!$DI$248</f>
        <v>8348.6010499999993</v>
      </c>
      <c r="F40" s="46">
        <f>[24]СВОД!$Z$246/1000</f>
        <v>10747.041949152543</v>
      </c>
      <c r="G40" s="47">
        <f>([24]СВОД!$B$246+[24]СВОД!$D$246+[24]СВОД!$F$246)/1000</f>
        <v>459.14222033898307</v>
      </c>
      <c r="H40" s="47">
        <f>([24]СВОД!$H$246+[24]СВОД!$J$246+[24]СВОД!$L$246)/1000</f>
        <v>462.59830508474573</v>
      </c>
      <c r="I40" s="47">
        <f>([24]СВОД!$N$246+[24]СВОД!$P$246+[24]СВОД!$R$246)/1000</f>
        <v>396.93135593220336</v>
      </c>
      <c r="J40" s="47">
        <f>([24]СВОД!$T$246+[24]СВОД!$V$246+[24]СВОД!$X$246)/1000</f>
        <v>9428.3700677966081</v>
      </c>
    </row>
    <row r="41" spans="1:10" s="37" customFormat="1" ht="57" x14ac:dyDescent="0.25">
      <c r="A41" s="52" t="s">
        <v>91</v>
      </c>
      <c r="B41" s="52" t="s">
        <v>90</v>
      </c>
      <c r="C41" s="45">
        <f>C24-C34</f>
        <v>4662.296011535771</v>
      </c>
      <c r="D41" s="46">
        <f>D24-D34</f>
        <v>5741.7000000000116</v>
      </c>
      <c r="E41" s="45">
        <f>E24-E34</f>
        <v>3196.5073147966177</v>
      </c>
      <c r="F41" s="45">
        <f t="shared" ref="F41:J41" si="4">F24-F34</f>
        <v>4408.8978059823858</v>
      </c>
      <c r="G41" s="47">
        <f>G24-G34</f>
        <v>-2183.783392888261</v>
      </c>
      <c r="H41" s="47">
        <f t="shared" si="4"/>
        <v>3280.5798132488126</v>
      </c>
      <c r="I41" s="47">
        <f t="shared" si="4"/>
        <v>683.33559744401282</v>
      </c>
      <c r="J41" s="47">
        <f t="shared" si="4"/>
        <v>2628.765788177785</v>
      </c>
    </row>
    <row r="42" spans="1:10" s="37" customFormat="1" ht="42.75" x14ac:dyDescent="0.25">
      <c r="A42" s="52" t="s">
        <v>12</v>
      </c>
      <c r="B42" s="52"/>
      <c r="C42" s="45">
        <f>$C$23-$C$33</f>
        <v>1254.7383115357661</v>
      </c>
      <c r="D42" s="46">
        <f>$D$23-$D$33</f>
        <v>5741.7000000000116</v>
      </c>
      <c r="E42" s="45">
        <f>$E$23-$E$33</f>
        <v>1769.482674796629</v>
      </c>
      <c r="F42" s="45">
        <f>$F$23-$F$33</f>
        <v>4218.3019454213209</v>
      </c>
      <c r="G42" s="47">
        <f>$G$23-$G$33</f>
        <v>-2255.8121805018163</v>
      </c>
      <c r="H42" s="47">
        <f>$H$23-$H$33</f>
        <v>3107.2983307200047</v>
      </c>
      <c r="I42" s="47">
        <f>$I$23-$I$33</f>
        <v>776.41215816685872</v>
      </c>
      <c r="J42" s="47">
        <f>$J$23-$J$33</f>
        <v>2590.4036370362301</v>
      </c>
    </row>
    <row r="43" spans="1:10" s="37" customFormat="1" ht="127.5" customHeight="1" x14ac:dyDescent="0.25">
      <c r="A43" s="52" t="s">
        <v>13</v>
      </c>
      <c r="B43" s="52"/>
      <c r="C43" s="45"/>
      <c r="D43" s="46"/>
      <c r="E43" s="45"/>
      <c r="F43" s="45"/>
      <c r="G43" s="47"/>
      <c r="H43" s="47"/>
      <c r="I43" s="47"/>
      <c r="J43" s="47"/>
    </row>
    <row r="44" spans="1:10" s="37" customFormat="1" ht="36" customHeight="1" x14ac:dyDescent="0.25">
      <c r="A44" s="52" t="s">
        <v>14</v>
      </c>
      <c r="B44" s="64"/>
      <c r="C44" s="45">
        <v>36</v>
      </c>
      <c r="D44" s="46"/>
      <c r="E44" s="45">
        <v>500</v>
      </c>
      <c r="F44" s="45">
        <v>700</v>
      </c>
      <c r="G44" s="47">
        <f>$F$44*G42/$F$42</f>
        <v>-374.3374814752753</v>
      </c>
      <c r="H44" s="47">
        <f>$F$44*H42/$F$42</f>
        <v>515.63611605967071</v>
      </c>
      <c r="I44" s="47">
        <f>$F$44*I42/$F$42</f>
        <v>128.84058982707978</v>
      </c>
      <c r="J44" s="47">
        <f>$F$44*J42/$F$42</f>
        <v>429.86077558851747</v>
      </c>
    </row>
    <row r="45" spans="1:10" s="37" customFormat="1" ht="99.75" x14ac:dyDescent="0.25">
      <c r="A45" s="53" t="s">
        <v>97</v>
      </c>
      <c r="B45" s="53"/>
      <c r="C45" s="54">
        <v>48205.2</v>
      </c>
      <c r="D45" s="55">
        <v>53757.599999999999</v>
      </c>
      <c r="E45" s="54">
        <v>53741</v>
      </c>
      <c r="F45" s="54">
        <v>55300</v>
      </c>
      <c r="G45" s="54">
        <v>13666</v>
      </c>
      <c r="H45" s="54">
        <v>13448</v>
      </c>
      <c r="I45" s="54">
        <v>14093</v>
      </c>
      <c r="J45" s="54">
        <v>14093</v>
      </c>
    </row>
    <row r="46" spans="1:10" ht="42.75" x14ac:dyDescent="0.25">
      <c r="A46" s="53" t="s">
        <v>15</v>
      </c>
      <c r="B46" s="56"/>
      <c r="C46" s="57">
        <v>223</v>
      </c>
      <c r="D46" s="58">
        <v>295</v>
      </c>
      <c r="E46" s="57">
        <v>226</v>
      </c>
      <c r="F46" s="57">
        <v>260</v>
      </c>
      <c r="G46" s="57">
        <v>267</v>
      </c>
      <c r="H46" s="57">
        <v>261</v>
      </c>
      <c r="I46" s="57">
        <v>257</v>
      </c>
      <c r="J46" s="57">
        <v>257</v>
      </c>
    </row>
    <row r="47" spans="1:10" x14ac:dyDescent="0.25">
      <c r="A47" s="53" t="s">
        <v>16</v>
      </c>
      <c r="B47" s="53"/>
      <c r="C47" s="54">
        <v>43</v>
      </c>
      <c r="D47" s="55">
        <v>42</v>
      </c>
      <c r="E47" s="54">
        <v>38</v>
      </c>
      <c r="F47" s="54">
        <v>46</v>
      </c>
      <c r="G47" s="54">
        <v>46</v>
      </c>
      <c r="H47" s="54">
        <v>46</v>
      </c>
      <c r="I47" s="54">
        <v>46</v>
      </c>
      <c r="J47" s="54">
        <v>46</v>
      </c>
    </row>
    <row r="48" spans="1:10" x14ac:dyDescent="0.25">
      <c r="A48" s="53" t="s">
        <v>17</v>
      </c>
      <c r="B48" s="53"/>
      <c r="C48" s="54">
        <v>180</v>
      </c>
      <c r="D48" s="55">
        <v>253</v>
      </c>
      <c r="E48" s="54">
        <v>188</v>
      </c>
      <c r="F48" s="54">
        <v>214</v>
      </c>
      <c r="G48" s="54">
        <v>221</v>
      </c>
      <c r="H48" s="54">
        <v>215</v>
      </c>
      <c r="I48" s="54">
        <v>211</v>
      </c>
      <c r="J48" s="54">
        <v>211</v>
      </c>
    </row>
    <row r="49" spans="1:10 16383:16383" ht="42.75" x14ac:dyDescent="0.25">
      <c r="A49" s="53" t="s">
        <v>96</v>
      </c>
      <c r="B49" s="53"/>
      <c r="C49" s="54">
        <v>18010</v>
      </c>
      <c r="D49" s="55">
        <v>15185</v>
      </c>
      <c r="E49" s="54">
        <v>19816</v>
      </c>
      <c r="F49" s="54">
        <v>17724.3</v>
      </c>
      <c r="G49" s="54">
        <v>17060</v>
      </c>
      <c r="H49" s="54">
        <v>17175</v>
      </c>
      <c r="I49" s="54">
        <v>18279</v>
      </c>
      <c r="J49" s="54">
        <v>18279</v>
      </c>
      <c r="XFC49" s="31"/>
    </row>
    <row r="50" spans="1:10 16383:16383" x14ac:dyDescent="0.25">
      <c r="A50" s="53" t="s">
        <v>16</v>
      </c>
      <c r="B50" s="53"/>
      <c r="C50" s="54">
        <v>22490</v>
      </c>
      <c r="D50" s="55">
        <v>23545</v>
      </c>
      <c r="E50" s="54">
        <v>24753</v>
      </c>
      <c r="F50" s="54">
        <v>24251</v>
      </c>
      <c r="G50" s="54">
        <v>22878</v>
      </c>
      <c r="H50" s="54">
        <v>22878</v>
      </c>
      <c r="I50" s="54">
        <v>24251</v>
      </c>
      <c r="J50" s="54">
        <v>24251</v>
      </c>
    </row>
    <row r="51" spans="1:10 16383:16383" x14ac:dyDescent="0.25">
      <c r="A51" s="53" t="s">
        <v>17</v>
      </c>
      <c r="B51" s="53"/>
      <c r="C51" s="54">
        <v>16944</v>
      </c>
      <c r="D51" s="55">
        <v>13798</v>
      </c>
      <c r="E51" s="54">
        <v>18818</v>
      </c>
      <c r="F51" s="54">
        <v>16321</v>
      </c>
      <c r="G51" s="54">
        <v>19025</v>
      </c>
      <c r="H51" s="54">
        <v>19218</v>
      </c>
      <c r="I51" s="54">
        <v>20502</v>
      </c>
      <c r="J51" s="54">
        <v>20502</v>
      </c>
    </row>
    <row r="52" spans="1:10 16383:16383" ht="71.25" x14ac:dyDescent="0.25">
      <c r="A52" s="52" t="s">
        <v>95</v>
      </c>
      <c r="B52" s="59"/>
      <c r="C52" s="59">
        <v>40856.803</v>
      </c>
      <c r="D52" s="59">
        <v>198931</v>
      </c>
      <c r="E52" s="60">
        <v>17441.400000000001</v>
      </c>
      <c r="F52" s="60">
        <v>462775.8</v>
      </c>
      <c r="G52" s="61"/>
      <c r="H52" s="79"/>
      <c r="I52" s="79"/>
      <c r="J52" s="79"/>
    </row>
    <row r="53" spans="1:10 16383:16383" ht="71.25" x14ac:dyDescent="0.25">
      <c r="A53" s="52" t="s">
        <v>18</v>
      </c>
      <c r="B53" s="52"/>
      <c r="C53" s="62">
        <v>0.66949000000000003</v>
      </c>
      <c r="D53" s="62">
        <v>0.66949000000000003</v>
      </c>
      <c r="E53" s="62">
        <v>0.66949000000000003</v>
      </c>
      <c r="F53" s="62">
        <v>0.66949000000000003</v>
      </c>
      <c r="G53" s="63">
        <f>F53/4</f>
        <v>0.16737250000000001</v>
      </c>
      <c r="H53" s="63">
        <f>G53</f>
        <v>0.16737250000000001</v>
      </c>
      <c r="I53" s="63">
        <f>H53</f>
        <v>0.16737250000000001</v>
      </c>
      <c r="J53" s="63">
        <f>I53</f>
        <v>0.16737250000000001</v>
      </c>
    </row>
    <row r="54" spans="1:10 16383:16383" ht="28.5" x14ac:dyDescent="0.25">
      <c r="A54" s="52" t="s">
        <v>19</v>
      </c>
      <c r="B54" s="52"/>
      <c r="C54" s="52">
        <v>79790</v>
      </c>
      <c r="D54" s="44"/>
      <c r="E54" s="52">
        <v>76348</v>
      </c>
      <c r="F54" s="52">
        <f>E54-3000</f>
        <v>73348</v>
      </c>
      <c r="G54" s="79"/>
      <c r="H54" s="79"/>
      <c r="I54" s="79"/>
      <c r="J54" s="79"/>
    </row>
    <row r="55" spans="1:10 16383:16383" ht="42.75" x14ac:dyDescent="0.25">
      <c r="A55" s="52" t="s">
        <v>20</v>
      </c>
      <c r="B55" s="52"/>
      <c r="C55" s="72">
        <f>C41/(C23+C33)</f>
        <v>1.2335740625109122E-2</v>
      </c>
      <c r="D55" s="72">
        <f>D41/(D23+D33)</f>
        <v>1.6142985629967837E-2</v>
      </c>
      <c r="E55" s="72">
        <f>E41/(E23+E33)</f>
        <v>9.1238954295643979E-3</v>
      </c>
      <c r="F55" s="72">
        <f>F41/(F23+F33)</f>
        <v>1.1925773968251877E-2</v>
      </c>
      <c r="G55" s="73">
        <f>G41/(G23+G33)</f>
        <v>-2.3408875678827181E-2</v>
      </c>
      <c r="H55" s="73">
        <f>H41/(H23+H33)</f>
        <v>4.2412135946312095E-2</v>
      </c>
      <c r="I55" s="73">
        <f>I41/(I23+I33)</f>
        <v>8.6673679080431221E-3</v>
      </c>
      <c r="J55" s="73">
        <f>J41/(J23+J33)</f>
        <v>2.1866994471607618E-2</v>
      </c>
    </row>
    <row r="56" spans="1:10 16383:16383" ht="71.25" x14ac:dyDescent="0.25">
      <c r="A56" s="52" t="s">
        <v>93</v>
      </c>
      <c r="B56" s="52"/>
      <c r="C56" s="79">
        <v>21668</v>
      </c>
      <c r="D56" s="43">
        <v>24346</v>
      </c>
      <c r="E56" s="79">
        <v>20800</v>
      </c>
      <c r="F56" s="79">
        <v>19150</v>
      </c>
      <c r="G56" s="79">
        <v>22425</v>
      </c>
      <c r="H56" s="79">
        <v>20590</v>
      </c>
      <c r="I56" s="79">
        <v>21090</v>
      </c>
      <c r="J56" s="79">
        <v>19150</v>
      </c>
    </row>
    <row r="57" spans="1:10 16383:16383" ht="57" x14ac:dyDescent="0.25">
      <c r="A57" s="52" t="s">
        <v>94</v>
      </c>
      <c r="B57" s="52"/>
      <c r="C57" s="79">
        <v>15184</v>
      </c>
      <c r="D57" s="43">
        <v>13665</v>
      </c>
      <c r="E57" s="79">
        <v>19700</v>
      </c>
      <c r="F57" s="79">
        <v>17000</v>
      </c>
      <c r="G57" s="79">
        <v>21150</v>
      </c>
      <c r="H57" s="79">
        <v>16240</v>
      </c>
      <c r="I57" s="79">
        <v>14070</v>
      </c>
      <c r="J57" s="79">
        <v>17000</v>
      </c>
    </row>
    <row r="58" spans="1:10 16383:16383" x14ac:dyDescent="0.25">
      <c r="A58" s="52" t="s">
        <v>21</v>
      </c>
      <c r="B58" s="52"/>
      <c r="C58" s="79">
        <v>6784</v>
      </c>
      <c r="D58" s="43">
        <v>7100</v>
      </c>
      <c r="E58" s="79">
        <v>9500</v>
      </c>
      <c r="F58" s="79">
        <v>8100</v>
      </c>
      <c r="G58" s="79">
        <v>10600</v>
      </c>
      <c r="H58" s="79">
        <v>6500</v>
      </c>
      <c r="I58" s="79">
        <v>5800</v>
      </c>
      <c r="J58" s="79">
        <v>8100</v>
      </c>
    </row>
    <row r="59" spans="1:10 16383:16383" x14ac:dyDescent="0.25">
      <c r="A59" s="52" t="s">
        <v>22</v>
      </c>
      <c r="B59" s="52"/>
      <c r="C59" s="79">
        <v>3507</v>
      </c>
      <c r="D59" s="43">
        <v>5510</v>
      </c>
      <c r="E59" s="79">
        <v>6000</v>
      </c>
      <c r="F59" s="79">
        <v>5550</v>
      </c>
      <c r="G59" s="79">
        <v>5080</v>
      </c>
      <c r="H59" s="79">
        <v>6000</v>
      </c>
      <c r="I59" s="79">
        <v>5200</v>
      </c>
      <c r="J59" s="79">
        <v>5550</v>
      </c>
    </row>
    <row r="60" spans="1:10 16383:16383" ht="28.5" x14ac:dyDescent="0.25">
      <c r="A60" s="52" t="s">
        <v>109</v>
      </c>
      <c r="B60" s="52"/>
      <c r="C60" s="79">
        <v>2013</v>
      </c>
      <c r="D60" s="43">
        <v>2625</v>
      </c>
      <c r="E60" s="79">
        <v>2600</v>
      </c>
      <c r="F60" s="79">
        <v>2650</v>
      </c>
      <c r="G60" s="79">
        <v>2640</v>
      </c>
      <c r="H60" s="79">
        <v>2600</v>
      </c>
      <c r="I60" s="79">
        <v>2600</v>
      </c>
      <c r="J60" s="79">
        <v>2650</v>
      </c>
    </row>
    <row r="63" spans="1:10 16383:16383" ht="16.5" x14ac:dyDescent="0.25">
      <c r="D63" s="33"/>
    </row>
  </sheetData>
  <mergeCells count="9">
    <mergeCell ref="F1:G1"/>
    <mergeCell ref="F2:J2"/>
    <mergeCell ref="A10:J10"/>
    <mergeCell ref="A11:A13"/>
    <mergeCell ref="B11:B13"/>
    <mergeCell ref="C11:C13"/>
    <mergeCell ref="D11:E12"/>
    <mergeCell ref="F11:F13"/>
    <mergeCell ref="G11:J12"/>
  </mergeCells>
  <pageMargins left="0.11811023622047245" right="0.11811023622047245" top="0.15748031496062992" bottom="0.15748031496062992" header="0.31496062992125984" footer="0.31496062992125984"/>
  <pageSetup paperSize="9" scale="10" fitToHeight="2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I30"/>
  <sheetViews>
    <sheetView workbookViewId="0">
      <selection activeCell="D21" sqref="D21"/>
    </sheetView>
  </sheetViews>
  <sheetFormatPr defaultRowHeight="15" x14ac:dyDescent="0.25"/>
  <cols>
    <col min="1" max="1" width="42.7109375" customWidth="1"/>
    <col min="2" max="2" width="15" bestFit="1" customWidth="1"/>
    <col min="3" max="3" width="14.28515625" customWidth="1"/>
    <col min="4" max="4" width="14.42578125" customWidth="1"/>
    <col min="5" max="5" width="12.140625" customWidth="1"/>
  </cols>
  <sheetData>
    <row r="2" spans="1:9" ht="16.5" x14ac:dyDescent="0.25">
      <c r="A2" s="125" t="s">
        <v>26</v>
      </c>
      <c r="B2" s="125"/>
      <c r="C2" s="125"/>
      <c r="D2" s="125"/>
      <c r="E2" s="125"/>
      <c r="F2" s="125"/>
      <c r="G2" s="125"/>
      <c r="H2" s="125"/>
      <c r="I2" s="125"/>
    </row>
    <row r="3" spans="1:9" ht="15.75" customHeight="1" x14ac:dyDescent="0.25">
      <c r="A3" s="126" t="s">
        <v>23</v>
      </c>
      <c r="B3" s="126" t="s">
        <v>24</v>
      </c>
      <c r="C3" s="126" t="s">
        <v>1</v>
      </c>
      <c r="D3" s="126"/>
      <c r="E3" s="127" t="s">
        <v>2</v>
      </c>
      <c r="F3" s="126" t="s">
        <v>3</v>
      </c>
      <c r="G3" s="126"/>
      <c r="H3" s="126"/>
      <c r="I3" s="126"/>
    </row>
    <row r="4" spans="1:9" ht="33" customHeight="1" x14ac:dyDescent="0.25">
      <c r="A4" s="126"/>
      <c r="B4" s="126"/>
      <c r="C4" s="80" t="s">
        <v>4</v>
      </c>
      <c r="D4" s="80" t="s">
        <v>35</v>
      </c>
      <c r="E4" s="127"/>
      <c r="F4" s="80" t="s">
        <v>6</v>
      </c>
      <c r="G4" s="80" t="s">
        <v>7</v>
      </c>
      <c r="H4" s="80" t="s">
        <v>7</v>
      </c>
      <c r="I4" s="80" t="s">
        <v>8</v>
      </c>
    </row>
    <row r="5" spans="1:9" ht="16.5" x14ac:dyDescent="0.25">
      <c r="A5" s="80">
        <v>1</v>
      </c>
      <c r="B5" s="80">
        <v>2</v>
      </c>
      <c r="C5" s="80">
        <v>3</v>
      </c>
      <c r="D5" s="80">
        <v>4</v>
      </c>
      <c r="E5" s="80">
        <v>5</v>
      </c>
      <c r="F5" s="80">
        <v>6</v>
      </c>
      <c r="G5" s="80">
        <v>7</v>
      </c>
      <c r="H5" s="80">
        <v>8</v>
      </c>
      <c r="I5" s="80">
        <v>9</v>
      </c>
    </row>
    <row r="6" spans="1:9" ht="18.75" customHeight="1" x14ac:dyDescent="0.25">
      <c r="A6" s="66" t="s">
        <v>112</v>
      </c>
      <c r="B6" s="74" t="e">
        <f>B8+B10+B7</f>
        <v>#REF!</v>
      </c>
      <c r="C6" s="67"/>
      <c r="D6" s="74" t="e">
        <f>D8+D10+D7</f>
        <v>#REF!</v>
      </c>
      <c r="E6" s="74" t="e">
        <f>E8+E10+E7</f>
        <v>#REF!</v>
      </c>
      <c r="F6" s="67"/>
      <c r="G6" s="67"/>
      <c r="H6" s="67"/>
      <c r="I6" s="67"/>
    </row>
    <row r="7" spans="1:9" ht="18.75" customHeight="1" x14ac:dyDescent="0.25">
      <c r="A7" s="68" t="s">
        <v>113</v>
      </c>
      <c r="B7" s="75" t="e">
        <f>#REF!</f>
        <v>#REF!</v>
      </c>
      <c r="C7" s="67"/>
      <c r="D7" s="75" t="e">
        <f>#REF!</f>
        <v>#REF!</v>
      </c>
      <c r="E7" s="75" t="e">
        <f>#REF!</f>
        <v>#REF!</v>
      </c>
      <c r="F7" s="67"/>
      <c r="G7" s="67"/>
      <c r="H7" s="67"/>
      <c r="I7" s="67"/>
    </row>
    <row r="8" spans="1:9" ht="18.75" customHeight="1" x14ac:dyDescent="0.25">
      <c r="A8" s="68" t="s">
        <v>114</v>
      </c>
      <c r="B8" s="81">
        <v>2335</v>
      </c>
      <c r="C8" s="67"/>
      <c r="D8" s="81">
        <v>3365</v>
      </c>
      <c r="E8" s="81">
        <v>3491</v>
      </c>
      <c r="F8" s="67"/>
      <c r="G8" s="67"/>
      <c r="H8" s="67"/>
      <c r="I8" s="67"/>
    </row>
    <row r="9" spans="1:9" ht="18.75" customHeight="1" x14ac:dyDescent="0.25">
      <c r="A9" s="68" t="s">
        <v>115</v>
      </c>
      <c r="B9" s="81"/>
      <c r="C9" s="81"/>
      <c r="D9" s="81"/>
      <c r="E9" s="81"/>
      <c r="F9" s="81"/>
      <c r="G9" s="81"/>
      <c r="H9" s="81"/>
      <c r="I9" s="81"/>
    </row>
    <row r="10" spans="1:9" ht="18.75" customHeight="1" x14ac:dyDescent="0.25">
      <c r="A10" s="69" t="s">
        <v>111</v>
      </c>
      <c r="B10" s="81">
        <v>3935</v>
      </c>
      <c r="C10" s="81"/>
      <c r="D10" s="81">
        <v>1600</v>
      </c>
      <c r="E10" s="81">
        <v>0</v>
      </c>
      <c r="F10" s="81"/>
      <c r="G10" s="81"/>
      <c r="H10" s="81"/>
      <c r="I10" s="81"/>
    </row>
    <row r="11" spans="1:9" ht="18.75" customHeight="1" x14ac:dyDescent="0.25">
      <c r="A11" s="69" t="s">
        <v>25</v>
      </c>
      <c r="B11" s="81">
        <v>0</v>
      </c>
      <c r="C11" s="81"/>
      <c r="D11" s="81">
        <v>0</v>
      </c>
      <c r="E11" s="81">
        <v>0</v>
      </c>
      <c r="F11" s="81"/>
      <c r="G11" s="81"/>
      <c r="H11" s="81"/>
      <c r="I11" s="81"/>
    </row>
    <row r="12" spans="1:9" ht="24" customHeight="1" x14ac:dyDescent="0.25">
      <c r="A12" s="67" t="s">
        <v>120</v>
      </c>
      <c r="B12" s="74">
        <f>SUM(B13:B18)</f>
        <v>2353</v>
      </c>
      <c r="C12" s="67"/>
      <c r="D12" s="74">
        <f>SUM(D13:D18)</f>
        <v>2838</v>
      </c>
      <c r="E12" s="74" t="e">
        <f>SUM(E13:E18)</f>
        <v>#REF!</v>
      </c>
      <c r="F12" s="67"/>
      <c r="G12" s="67"/>
      <c r="H12" s="67"/>
      <c r="I12" s="67"/>
    </row>
    <row r="13" spans="1:9" ht="33" customHeight="1" x14ac:dyDescent="0.25">
      <c r="A13" s="81" t="s">
        <v>121</v>
      </c>
      <c r="B13" s="75">
        <v>320</v>
      </c>
      <c r="C13" s="67"/>
      <c r="D13" s="75">
        <v>704</v>
      </c>
      <c r="E13" s="75" t="e">
        <f>20%*E7</f>
        <v>#REF!</v>
      </c>
      <c r="F13" s="67"/>
      <c r="G13" s="67"/>
      <c r="H13" s="67"/>
      <c r="I13" s="67"/>
    </row>
    <row r="14" spans="1:9" ht="20.25" customHeight="1" x14ac:dyDescent="0.25">
      <c r="A14" s="81" t="s">
        <v>119</v>
      </c>
      <c r="B14" s="67"/>
      <c r="C14" s="67"/>
      <c r="D14" s="67"/>
      <c r="E14" s="67"/>
      <c r="F14" s="67"/>
      <c r="G14" s="67"/>
      <c r="H14" s="67"/>
      <c r="I14" s="67"/>
    </row>
    <row r="15" spans="1:9" ht="52.5" customHeight="1" x14ac:dyDescent="0.25">
      <c r="A15" s="81" t="s">
        <v>122</v>
      </c>
      <c r="B15" s="81"/>
      <c r="C15" s="81"/>
      <c r="D15" s="81"/>
      <c r="E15" s="81"/>
      <c r="F15" s="81"/>
      <c r="G15" s="81"/>
      <c r="H15" s="81"/>
      <c r="I15" s="81"/>
    </row>
    <row r="16" spans="1:9" ht="24" customHeight="1" x14ac:dyDescent="0.25">
      <c r="A16" s="70" t="s">
        <v>118</v>
      </c>
      <c r="B16" s="81"/>
      <c r="C16" s="81"/>
      <c r="D16" s="81"/>
      <c r="E16" s="81"/>
      <c r="F16" s="81"/>
      <c r="G16" s="81"/>
      <c r="H16" s="81"/>
      <c r="I16" s="81"/>
    </row>
    <row r="17" spans="1:9" ht="24" customHeight="1" x14ac:dyDescent="0.25">
      <c r="A17" s="70" t="s">
        <v>117</v>
      </c>
      <c r="B17" s="81"/>
      <c r="C17" s="81"/>
      <c r="D17" s="81"/>
      <c r="E17" s="81"/>
      <c r="F17" s="81"/>
      <c r="G17" s="81"/>
      <c r="H17" s="81"/>
      <c r="I17" s="81"/>
    </row>
    <row r="18" spans="1:9" ht="24" customHeight="1" x14ac:dyDescent="0.25">
      <c r="A18" s="70" t="s">
        <v>116</v>
      </c>
      <c r="B18" s="71">
        <v>2033</v>
      </c>
      <c r="C18" s="71"/>
      <c r="D18" s="71">
        <v>2134</v>
      </c>
      <c r="E18" s="71">
        <v>2300</v>
      </c>
      <c r="F18" s="81"/>
      <c r="G18" s="81"/>
      <c r="H18" s="81"/>
      <c r="I18" s="81"/>
    </row>
    <row r="19" spans="1:9" s="77" customFormat="1" ht="16.5" x14ac:dyDescent="0.25">
      <c r="A19" s="76"/>
    </row>
    <row r="20" spans="1:9" ht="16.5" x14ac:dyDescent="0.25">
      <c r="A20" s="14" t="s">
        <v>124</v>
      </c>
      <c r="C20" s="15"/>
      <c r="E20" s="15" t="s">
        <v>123</v>
      </c>
      <c r="F20" s="15"/>
    </row>
    <row r="21" spans="1:9" x14ac:dyDescent="0.25">
      <c r="A21" s="12" t="s">
        <v>37</v>
      </c>
      <c r="B21" s="13"/>
      <c r="C21" s="13" t="s">
        <v>38</v>
      </c>
      <c r="D21" s="13"/>
      <c r="E21" s="13" t="s">
        <v>39</v>
      </c>
      <c r="F21" s="13"/>
      <c r="G21" s="13"/>
    </row>
    <row r="22" spans="1:9" ht="16.5" x14ac:dyDescent="0.25">
      <c r="A22" s="11"/>
    </row>
    <row r="23" spans="1:9" ht="16.5" x14ac:dyDescent="0.25">
      <c r="A23" s="11"/>
    </row>
    <row r="24" spans="1:9" ht="16.5" x14ac:dyDescent="0.25">
      <c r="A24" s="11" t="s">
        <v>33</v>
      </c>
    </row>
    <row r="25" spans="1:9" ht="16.5" x14ac:dyDescent="0.25">
      <c r="A25" s="11"/>
    </row>
    <row r="26" spans="1:9" ht="16.5" x14ac:dyDescent="0.25">
      <c r="A26" s="11"/>
    </row>
    <row r="27" spans="1:9" ht="16.5" x14ac:dyDescent="0.25">
      <c r="A27" s="11" t="s">
        <v>34</v>
      </c>
    </row>
    <row r="28" spans="1:9" ht="16.5" x14ac:dyDescent="0.25">
      <c r="A28" s="14"/>
      <c r="C28" s="15"/>
      <c r="E28" s="15"/>
      <c r="F28" s="15"/>
    </row>
    <row r="29" spans="1:9" x14ac:dyDescent="0.25">
      <c r="A29" s="12" t="s">
        <v>37</v>
      </c>
      <c r="B29" s="13"/>
      <c r="C29" s="13" t="s">
        <v>38</v>
      </c>
      <c r="D29" s="13"/>
      <c r="E29" s="13" t="s">
        <v>39</v>
      </c>
      <c r="F29" s="13"/>
      <c r="G29" s="13"/>
    </row>
    <row r="30" spans="1:9" ht="16.5" x14ac:dyDescent="0.25">
      <c r="A30" s="11" t="s">
        <v>33</v>
      </c>
    </row>
  </sheetData>
  <mergeCells count="6">
    <mergeCell ref="A2:I2"/>
    <mergeCell ref="A3:A4"/>
    <mergeCell ref="B3:B4"/>
    <mergeCell ref="C3:D3"/>
    <mergeCell ref="E3:E4"/>
    <mergeCell ref="F3:I3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25" workbookViewId="0">
      <selection activeCell="D21" sqref="D21"/>
    </sheetView>
  </sheetViews>
  <sheetFormatPr defaultRowHeight="15" x14ac:dyDescent="0.25"/>
  <cols>
    <col min="1" max="1" width="32.5703125" customWidth="1"/>
    <col min="3" max="3" width="11" customWidth="1"/>
    <col min="4" max="4" width="10.42578125" customWidth="1"/>
    <col min="5" max="5" width="10.7109375" customWidth="1"/>
    <col min="6" max="6" width="11.42578125" customWidth="1"/>
    <col min="7" max="7" width="12.140625" customWidth="1"/>
    <col min="9" max="9" width="11.28515625" customWidth="1"/>
  </cols>
  <sheetData>
    <row r="1" spans="1:9" ht="15" customHeight="1" x14ac:dyDescent="0.25">
      <c r="G1" s="122" t="s">
        <v>40</v>
      </c>
      <c r="H1" s="122"/>
      <c r="I1" s="122"/>
    </row>
    <row r="2" spans="1:9" ht="108" customHeight="1" x14ac:dyDescent="0.25">
      <c r="G2" s="130" t="s">
        <v>53</v>
      </c>
      <c r="H2" s="130"/>
      <c r="I2" s="130"/>
    </row>
    <row r="3" spans="1:9" ht="38.25" customHeight="1" thickBot="1" x14ac:dyDescent="0.3">
      <c r="A3" s="132" t="s">
        <v>108</v>
      </c>
      <c r="B3" s="132"/>
      <c r="C3" s="132"/>
      <c r="D3" s="132"/>
      <c r="E3" s="132"/>
      <c r="F3" s="132"/>
      <c r="G3" s="132"/>
      <c r="H3" s="132"/>
      <c r="I3" s="132"/>
    </row>
    <row r="4" spans="1:9" x14ac:dyDescent="0.25">
      <c r="B4" t="s">
        <v>50</v>
      </c>
    </row>
    <row r="6" spans="1:9" ht="16.5" x14ac:dyDescent="0.25">
      <c r="A6" s="7"/>
    </row>
    <row r="7" spans="1:9" ht="51.75" customHeight="1" x14ac:dyDescent="0.25">
      <c r="A7" s="127" t="s">
        <v>0</v>
      </c>
      <c r="B7" s="127" t="s">
        <v>44</v>
      </c>
      <c r="C7" s="127" t="s">
        <v>45</v>
      </c>
      <c r="D7" s="127" t="s">
        <v>46</v>
      </c>
      <c r="E7" s="127"/>
      <c r="F7" s="127" t="s">
        <v>47</v>
      </c>
      <c r="G7" s="127"/>
      <c r="H7" s="127"/>
      <c r="I7" s="127"/>
    </row>
    <row r="8" spans="1:9" ht="82.5" customHeight="1" x14ac:dyDescent="0.25">
      <c r="A8" s="127"/>
      <c r="B8" s="127"/>
      <c r="C8" s="127"/>
      <c r="D8" s="127" t="s">
        <v>41</v>
      </c>
      <c r="E8" s="127" t="s">
        <v>42</v>
      </c>
      <c r="F8" s="127" t="s">
        <v>98</v>
      </c>
      <c r="G8" s="127"/>
      <c r="H8" s="127" t="s">
        <v>43</v>
      </c>
      <c r="I8" s="127"/>
    </row>
    <row r="9" spans="1:9" ht="33" customHeight="1" x14ac:dyDescent="0.25">
      <c r="A9" s="127"/>
      <c r="B9" s="127"/>
      <c r="C9" s="127"/>
      <c r="D9" s="127"/>
      <c r="E9" s="127"/>
      <c r="F9" s="23" t="s">
        <v>48</v>
      </c>
      <c r="G9" s="23" t="s">
        <v>49</v>
      </c>
      <c r="H9" s="23" t="s">
        <v>48</v>
      </c>
      <c r="I9" s="23" t="s">
        <v>49</v>
      </c>
    </row>
    <row r="10" spans="1:9" ht="16.5" x14ac:dyDescent="0.2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</row>
    <row r="11" spans="1:9" ht="16.5" x14ac:dyDescent="0.25">
      <c r="A11" s="16"/>
      <c r="B11" s="16"/>
      <c r="C11" s="16"/>
      <c r="D11" s="16"/>
      <c r="E11" s="16"/>
      <c r="F11" s="16"/>
      <c r="G11" s="16"/>
      <c r="H11" s="16"/>
      <c r="I11" s="16"/>
    </row>
    <row r="12" spans="1:9" ht="49.5" x14ac:dyDescent="0.25">
      <c r="A12" s="34" t="s">
        <v>99</v>
      </c>
      <c r="B12" s="16"/>
      <c r="C12" s="38" t="e">
        <f>#REF!</f>
        <v>#REF!</v>
      </c>
      <c r="D12" s="38" t="e">
        <f>#REF!</f>
        <v>#REF!</v>
      </c>
      <c r="E12" s="38" t="e">
        <f>#REF!</f>
        <v>#REF!</v>
      </c>
      <c r="F12" s="39" t="e">
        <f>E12/D12</f>
        <v>#REF!</v>
      </c>
      <c r="G12" s="40" t="e">
        <f>E12-D12</f>
        <v>#REF!</v>
      </c>
      <c r="H12" s="39" t="e">
        <f>E12/C12</f>
        <v>#REF!</v>
      </c>
      <c r="I12" s="40" t="e">
        <f>E12-C12</f>
        <v>#REF!</v>
      </c>
    </row>
    <row r="13" spans="1:9" ht="66" x14ac:dyDescent="0.25">
      <c r="A13" s="34" t="s">
        <v>100</v>
      </c>
      <c r="B13" s="34"/>
      <c r="C13" s="38" t="e">
        <f>#REF!</f>
        <v>#REF!</v>
      </c>
      <c r="D13" s="38" t="e">
        <f>#REF!</f>
        <v>#REF!</v>
      </c>
      <c r="E13" s="38" t="e">
        <f>#REF!</f>
        <v>#REF!</v>
      </c>
      <c r="F13" s="39" t="e">
        <f t="shared" ref="F13" si="0">E13/D13</f>
        <v>#REF!</v>
      </c>
      <c r="G13" s="40" t="e">
        <f t="shared" ref="G13" si="1">E13-D13</f>
        <v>#REF!</v>
      </c>
      <c r="H13" s="39" t="e">
        <f t="shared" ref="H13" si="2">E13/C13</f>
        <v>#REF!</v>
      </c>
      <c r="I13" s="40" t="e">
        <f t="shared" ref="I13" si="3">E13-C13</f>
        <v>#REF!</v>
      </c>
    </row>
    <row r="14" spans="1:9" ht="49.5" x14ac:dyDescent="0.25">
      <c r="A14" s="34" t="s">
        <v>87</v>
      </c>
      <c r="B14" s="34"/>
      <c r="C14" s="38" t="e">
        <f>#REF!</f>
        <v>#REF!</v>
      </c>
      <c r="D14" s="38" t="e">
        <f>#REF!</f>
        <v>#REF!</v>
      </c>
      <c r="E14" s="38" t="e">
        <f>#REF!</f>
        <v>#REF!</v>
      </c>
      <c r="F14" s="39" t="e">
        <f t="shared" ref="F14:F17" si="4">E14/D14</f>
        <v>#REF!</v>
      </c>
      <c r="G14" s="40" t="e">
        <f t="shared" ref="G14:G17" si="5">E14-D14</f>
        <v>#REF!</v>
      </c>
      <c r="H14" s="39" t="e">
        <f t="shared" ref="H14:H17" si="6">E14/C14</f>
        <v>#REF!</v>
      </c>
      <c r="I14" s="40" t="e">
        <f t="shared" ref="I14:I17" si="7">E14-C14</f>
        <v>#REF!</v>
      </c>
    </row>
    <row r="15" spans="1:9" ht="16.5" x14ac:dyDescent="0.25">
      <c r="A15" s="34" t="s">
        <v>83</v>
      </c>
      <c r="B15" s="34"/>
      <c r="C15" s="38" t="e">
        <f>#REF!</f>
        <v>#REF!</v>
      </c>
      <c r="D15" s="38" t="e">
        <f>#REF!</f>
        <v>#REF!</v>
      </c>
      <c r="E15" s="38" t="e">
        <f>#REF!</f>
        <v>#REF!</v>
      </c>
      <c r="F15" s="39" t="e">
        <f t="shared" si="4"/>
        <v>#REF!</v>
      </c>
      <c r="G15" s="40" t="e">
        <f t="shared" si="5"/>
        <v>#REF!</v>
      </c>
      <c r="H15" s="39" t="e">
        <f t="shared" si="6"/>
        <v>#REF!</v>
      </c>
      <c r="I15" s="40" t="e">
        <f t="shared" si="7"/>
        <v>#REF!</v>
      </c>
    </row>
    <row r="16" spans="1:9" ht="33" x14ac:dyDescent="0.25">
      <c r="A16" s="34" t="s">
        <v>84</v>
      </c>
      <c r="B16" s="34"/>
      <c r="C16" s="38" t="e">
        <f>#REF!</f>
        <v>#REF!</v>
      </c>
      <c r="D16" s="38" t="e">
        <f>#REF!</f>
        <v>#REF!</v>
      </c>
      <c r="E16" s="38" t="e">
        <f>#REF!</f>
        <v>#REF!</v>
      </c>
      <c r="F16" s="39" t="e">
        <f t="shared" si="4"/>
        <v>#REF!</v>
      </c>
      <c r="G16" s="40" t="e">
        <f t="shared" si="5"/>
        <v>#REF!</v>
      </c>
      <c r="H16" s="39" t="e">
        <f t="shared" si="6"/>
        <v>#REF!</v>
      </c>
      <c r="I16" s="40" t="e">
        <f t="shared" si="7"/>
        <v>#REF!</v>
      </c>
    </row>
    <row r="17" spans="1:9" ht="16.5" x14ac:dyDescent="0.25">
      <c r="A17" s="34" t="s">
        <v>85</v>
      </c>
      <c r="B17" s="34"/>
      <c r="C17" s="38" t="e">
        <f>#REF!</f>
        <v>#REF!</v>
      </c>
      <c r="D17" s="38" t="e">
        <f>#REF!</f>
        <v>#REF!</v>
      </c>
      <c r="E17" s="38" t="e">
        <f>#REF!</f>
        <v>#REF!</v>
      </c>
      <c r="F17" s="39" t="e">
        <f t="shared" si="4"/>
        <v>#REF!</v>
      </c>
      <c r="G17" s="40" t="e">
        <f t="shared" si="5"/>
        <v>#REF!</v>
      </c>
      <c r="H17" s="39" t="e">
        <f t="shared" si="6"/>
        <v>#REF!</v>
      </c>
      <c r="I17" s="40" t="e">
        <f t="shared" si="7"/>
        <v>#REF!</v>
      </c>
    </row>
    <row r="18" spans="1:9" ht="16.5" x14ac:dyDescent="0.25">
      <c r="A18" s="34" t="s">
        <v>86</v>
      </c>
      <c r="B18" s="34"/>
      <c r="C18" s="38" t="e">
        <f>#REF!</f>
        <v>#REF!</v>
      </c>
      <c r="D18" s="38" t="e">
        <f>#REF!</f>
        <v>#REF!</v>
      </c>
      <c r="E18" s="38" t="e">
        <f>#REF!</f>
        <v>#REF!</v>
      </c>
      <c r="F18" s="39" t="e">
        <f t="shared" ref="F18:F26" si="8">E18/D18</f>
        <v>#REF!</v>
      </c>
      <c r="G18" s="40" t="e">
        <f t="shared" ref="G18:G26" si="9">E18-D18</f>
        <v>#REF!</v>
      </c>
      <c r="H18" s="39" t="e">
        <f t="shared" ref="H18:H26" si="10">E18/C18</f>
        <v>#REF!</v>
      </c>
      <c r="I18" s="40" t="e">
        <f t="shared" ref="I18:I26" si="11">E18-C18</f>
        <v>#REF!</v>
      </c>
    </row>
    <row r="19" spans="1:9" ht="66" x14ac:dyDescent="0.25">
      <c r="A19" s="34" t="s">
        <v>101</v>
      </c>
      <c r="B19" s="34"/>
      <c r="C19" s="38" t="e">
        <f>#REF!</f>
        <v>#REF!</v>
      </c>
      <c r="D19" s="38" t="e">
        <f>#REF!</f>
        <v>#REF!</v>
      </c>
      <c r="E19" s="38" t="e">
        <f>#REF!</f>
        <v>#REF!</v>
      </c>
      <c r="F19" s="39" t="e">
        <f t="shared" si="8"/>
        <v>#REF!</v>
      </c>
      <c r="G19" s="40" t="e">
        <f t="shared" si="9"/>
        <v>#REF!</v>
      </c>
      <c r="H19" s="39" t="e">
        <f t="shared" si="10"/>
        <v>#REF!</v>
      </c>
      <c r="I19" s="40" t="e">
        <f t="shared" si="11"/>
        <v>#REF!</v>
      </c>
    </row>
    <row r="20" spans="1:9" ht="33" x14ac:dyDescent="0.25">
      <c r="A20" s="34" t="s">
        <v>102</v>
      </c>
      <c r="B20" s="34"/>
      <c r="C20" s="38" t="e">
        <f>#REF!</f>
        <v>#REF!</v>
      </c>
      <c r="D20" s="38" t="e">
        <f>#REF!</f>
        <v>#REF!</v>
      </c>
      <c r="E20" s="38" t="e">
        <f>#REF!</f>
        <v>#REF!</v>
      </c>
      <c r="F20" s="39" t="e">
        <f t="shared" si="8"/>
        <v>#REF!</v>
      </c>
      <c r="G20" s="40" t="e">
        <f t="shared" si="9"/>
        <v>#REF!</v>
      </c>
      <c r="H20" s="39" t="e">
        <f t="shared" si="10"/>
        <v>#REF!</v>
      </c>
      <c r="I20" s="40" t="e">
        <f t="shared" si="11"/>
        <v>#REF!</v>
      </c>
    </row>
    <row r="21" spans="1:9" ht="16.5" x14ac:dyDescent="0.25">
      <c r="A21" s="131" t="s">
        <v>103</v>
      </c>
      <c r="B21" s="34"/>
      <c r="C21" s="38"/>
      <c r="D21" s="38"/>
      <c r="E21" s="38"/>
      <c r="F21" s="39" t="e">
        <f t="shared" si="8"/>
        <v>#DIV/0!</v>
      </c>
      <c r="G21" s="40">
        <f t="shared" si="9"/>
        <v>0</v>
      </c>
      <c r="H21" s="39" t="e">
        <f t="shared" si="10"/>
        <v>#DIV/0!</v>
      </c>
      <c r="I21" s="40">
        <f t="shared" si="11"/>
        <v>0</v>
      </c>
    </row>
    <row r="22" spans="1:9" ht="16.5" x14ac:dyDescent="0.25">
      <c r="A22" s="131"/>
      <c r="B22" s="34"/>
      <c r="C22" s="38"/>
      <c r="D22" s="38"/>
      <c r="E22" s="38"/>
      <c r="F22" s="39" t="e">
        <f t="shared" si="8"/>
        <v>#DIV/0!</v>
      </c>
      <c r="G22" s="40">
        <f t="shared" si="9"/>
        <v>0</v>
      </c>
      <c r="H22" s="39" t="e">
        <f t="shared" si="10"/>
        <v>#DIV/0!</v>
      </c>
      <c r="I22" s="40">
        <f t="shared" si="11"/>
        <v>0</v>
      </c>
    </row>
    <row r="23" spans="1:9" ht="82.5" x14ac:dyDescent="0.25">
      <c r="A23" s="34" t="s">
        <v>104</v>
      </c>
      <c r="B23" s="34"/>
      <c r="C23" s="38" t="e">
        <f>#REF!</f>
        <v>#REF!</v>
      </c>
      <c r="D23" s="38" t="e">
        <f>#REF!</f>
        <v>#REF!</v>
      </c>
      <c r="E23" s="38" t="e">
        <f>#REF!</f>
        <v>#REF!</v>
      </c>
      <c r="F23" s="39" t="e">
        <f t="shared" si="8"/>
        <v>#REF!</v>
      </c>
      <c r="G23" s="40" t="e">
        <f t="shared" si="9"/>
        <v>#REF!</v>
      </c>
      <c r="H23" s="39" t="e">
        <f t="shared" si="10"/>
        <v>#REF!</v>
      </c>
      <c r="I23" s="40" t="e">
        <f t="shared" si="11"/>
        <v>#REF!</v>
      </c>
    </row>
    <row r="24" spans="1:9" ht="82.5" x14ac:dyDescent="0.25">
      <c r="A24" s="34" t="s">
        <v>105</v>
      </c>
      <c r="B24" s="34"/>
      <c r="C24" s="38" t="e">
        <f>#REF!</f>
        <v>#REF!</v>
      </c>
      <c r="D24" s="38" t="e">
        <f>#REF!</f>
        <v>#REF!</v>
      </c>
      <c r="E24" s="38" t="e">
        <f>#REF!</f>
        <v>#REF!</v>
      </c>
      <c r="F24" s="39" t="e">
        <f t="shared" si="8"/>
        <v>#REF!</v>
      </c>
      <c r="G24" s="40" t="e">
        <f t="shared" si="9"/>
        <v>#REF!</v>
      </c>
      <c r="H24" s="39" t="e">
        <f t="shared" si="10"/>
        <v>#REF!</v>
      </c>
      <c r="I24" s="40" t="e">
        <f t="shared" si="11"/>
        <v>#REF!</v>
      </c>
    </row>
    <row r="25" spans="1:9" ht="82.5" x14ac:dyDescent="0.25">
      <c r="A25" s="34" t="s">
        <v>106</v>
      </c>
      <c r="B25" s="34"/>
      <c r="C25" s="41" t="e">
        <f>#REF!</f>
        <v>#REF!</v>
      </c>
      <c r="D25" s="41" t="e">
        <f>#REF!</f>
        <v>#REF!</v>
      </c>
      <c r="E25" s="41" t="e">
        <f>#REF!</f>
        <v>#REF!</v>
      </c>
      <c r="F25" s="39" t="e">
        <f t="shared" si="8"/>
        <v>#REF!</v>
      </c>
      <c r="G25" s="40" t="e">
        <f t="shared" si="9"/>
        <v>#REF!</v>
      </c>
      <c r="H25" s="39" t="e">
        <f t="shared" si="10"/>
        <v>#REF!</v>
      </c>
      <c r="I25" s="40" t="e">
        <f t="shared" si="11"/>
        <v>#REF!</v>
      </c>
    </row>
    <row r="26" spans="1:9" ht="66" x14ac:dyDescent="0.25">
      <c r="A26" s="34" t="s">
        <v>107</v>
      </c>
      <c r="B26" s="34"/>
      <c r="C26" s="41" t="e">
        <f>#REF!</f>
        <v>#REF!</v>
      </c>
      <c r="D26" s="41" t="e">
        <f>#REF!</f>
        <v>#REF!</v>
      </c>
      <c r="E26" s="41" t="e">
        <f>#REF!</f>
        <v>#REF!</v>
      </c>
      <c r="F26" s="39" t="e">
        <f t="shared" si="8"/>
        <v>#REF!</v>
      </c>
      <c r="G26" s="40" t="e">
        <f t="shared" si="9"/>
        <v>#REF!</v>
      </c>
      <c r="H26" s="39" t="e">
        <f t="shared" si="10"/>
        <v>#REF!</v>
      </c>
      <c r="I26" s="40" t="e">
        <f t="shared" si="11"/>
        <v>#REF!</v>
      </c>
    </row>
    <row r="27" spans="1:9" ht="16.5" x14ac:dyDescent="0.25">
      <c r="A27" s="34"/>
      <c r="B27" s="34"/>
      <c r="C27" s="34"/>
      <c r="D27" s="34"/>
      <c r="E27" s="34"/>
      <c r="F27" s="36"/>
      <c r="G27" s="35"/>
      <c r="H27" s="36"/>
      <c r="I27" s="35"/>
    </row>
    <row r="28" spans="1:9" ht="16.5" x14ac:dyDescent="0.25">
      <c r="A28" s="34"/>
      <c r="B28" s="34"/>
      <c r="C28" s="34"/>
      <c r="D28" s="34"/>
      <c r="E28" s="34"/>
      <c r="F28" s="36"/>
      <c r="G28" s="35"/>
      <c r="H28" s="36"/>
      <c r="I28" s="35"/>
    </row>
    <row r="29" spans="1:9" ht="16.5" x14ac:dyDescent="0.25">
      <c r="A29" s="34"/>
      <c r="B29" s="34"/>
      <c r="C29" s="34"/>
      <c r="D29" s="34"/>
      <c r="E29" s="34"/>
      <c r="F29" s="36"/>
      <c r="G29" s="35"/>
      <c r="H29" s="36"/>
      <c r="I29" s="35"/>
    </row>
    <row r="30" spans="1:9" ht="16.5" x14ac:dyDescent="0.25">
      <c r="A30" s="16"/>
      <c r="B30" s="16"/>
      <c r="C30" s="16"/>
      <c r="D30" s="16"/>
      <c r="E30" s="16"/>
      <c r="F30" s="16"/>
      <c r="G30" s="16"/>
      <c r="H30" s="16"/>
      <c r="I30" s="16"/>
    </row>
    <row r="32" spans="1:9" ht="16.5" x14ac:dyDescent="0.25">
      <c r="A32" s="14" t="s">
        <v>36</v>
      </c>
      <c r="C32" s="15"/>
      <c r="E32" s="15"/>
      <c r="F32" s="15"/>
    </row>
    <row r="33" spans="1:7" x14ac:dyDescent="0.25">
      <c r="A33" s="12" t="s">
        <v>37</v>
      </c>
      <c r="B33" s="13"/>
      <c r="C33" s="13" t="s">
        <v>38</v>
      </c>
      <c r="D33" s="13"/>
      <c r="E33" s="13" t="s">
        <v>39</v>
      </c>
      <c r="F33" s="13"/>
      <c r="G33" s="13"/>
    </row>
    <row r="34" spans="1:7" ht="16.5" x14ac:dyDescent="0.25">
      <c r="A34" s="11"/>
    </row>
    <row r="35" spans="1:7" ht="16.5" x14ac:dyDescent="0.25">
      <c r="A35" s="11"/>
    </row>
    <row r="36" spans="1:7" ht="16.5" x14ac:dyDescent="0.25">
      <c r="A36" s="11" t="s">
        <v>33</v>
      </c>
    </row>
    <row r="37" spans="1:7" ht="16.5" x14ac:dyDescent="0.25">
      <c r="A37" s="11"/>
    </row>
  </sheetData>
  <mergeCells count="13">
    <mergeCell ref="G1:I1"/>
    <mergeCell ref="G2:I2"/>
    <mergeCell ref="A21:A22"/>
    <mergeCell ref="C7:C9"/>
    <mergeCell ref="D8:D9"/>
    <mergeCell ref="E8:E9"/>
    <mergeCell ref="A3:I3"/>
    <mergeCell ref="F8:G8"/>
    <mergeCell ref="H8:I8"/>
    <mergeCell ref="A7:A9"/>
    <mergeCell ref="B7:B9"/>
    <mergeCell ref="D7:E7"/>
    <mergeCell ref="F7:I7"/>
  </mergeCells>
  <pageMargins left="0.11811023622047245" right="0.11811023622047245" top="0" bottom="0.15748031496062992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85" zoomScaleNormal="85" workbookViewId="0">
      <selection activeCell="D21" sqref="D21"/>
    </sheetView>
  </sheetViews>
  <sheetFormatPr defaultRowHeight="15" x14ac:dyDescent="0.25"/>
  <cols>
    <col min="1" max="1" width="32.5703125" customWidth="1"/>
    <col min="2" max="2" width="18.85546875" customWidth="1"/>
    <col min="3" max="4" width="17.140625" customWidth="1"/>
    <col min="5" max="5" width="18.85546875" customWidth="1"/>
    <col min="7" max="7" width="25.28515625" customWidth="1"/>
  </cols>
  <sheetData>
    <row r="1" spans="1:7" ht="15" customHeight="1" x14ac:dyDescent="0.25">
      <c r="F1" s="122" t="s">
        <v>51</v>
      </c>
      <c r="G1" s="122"/>
    </row>
    <row r="2" spans="1:7" ht="147.75" customHeight="1" x14ac:dyDescent="0.25">
      <c r="F2" s="134" t="s">
        <v>52</v>
      </c>
      <c r="G2" s="134"/>
    </row>
    <row r="3" spans="1:7" ht="33" customHeight="1" x14ac:dyDescent="0.25">
      <c r="A3" s="133" t="s">
        <v>54</v>
      </c>
      <c r="B3" s="133"/>
      <c r="C3" s="133"/>
      <c r="D3" s="133"/>
      <c r="E3" s="133"/>
    </row>
    <row r="4" spans="1:7" x14ac:dyDescent="0.25">
      <c r="B4" t="s">
        <v>50</v>
      </c>
    </row>
    <row r="6" spans="1:7" ht="15.75" thickBot="1" x14ac:dyDescent="0.3"/>
    <row r="7" spans="1:7" ht="119.25" customHeight="1" thickBot="1" x14ac:dyDescent="0.3">
      <c r="A7" s="10" t="s">
        <v>23</v>
      </c>
      <c r="B7" s="1" t="s">
        <v>65</v>
      </c>
      <c r="C7" s="3" t="s">
        <v>66</v>
      </c>
      <c r="D7" s="1" t="s">
        <v>67</v>
      </c>
      <c r="E7" s="2" t="s">
        <v>68</v>
      </c>
    </row>
    <row r="8" spans="1:7" ht="16.5" x14ac:dyDescent="0.25">
      <c r="A8" s="29" t="s">
        <v>55</v>
      </c>
      <c r="B8" s="17"/>
      <c r="C8" s="26"/>
      <c r="D8" s="17"/>
      <c r="E8" s="20"/>
    </row>
    <row r="9" spans="1:7" ht="16.5" x14ac:dyDescent="0.25">
      <c r="A9" s="24" t="s">
        <v>56</v>
      </c>
      <c r="B9" s="18"/>
      <c r="C9" s="27"/>
      <c r="D9" s="18"/>
      <c r="E9" s="21"/>
    </row>
    <row r="10" spans="1:7" ht="16.5" x14ac:dyDescent="0.25">
      <c r="A10" s="24" t="s">
        <v>57</v>
      </c>
      <c r="B10" s="18"/>
      <c r="C10" s="27"/>
      <c r="D10" s="18"/>
      <c r="E10" s="21"/>
    </row>
    <row r="11" spans="1:7" ht="16.5" x14ac:dyDescent="0.25">
      <c r="A11" s="24" t="s">
        <v>58</v>
      </c>
      <c r="B11" s="18"/>
      <c r="C11" s="27"/>
      <c r="D11" s="18"/>
      <c r="E11" s="21"/>
    </row>
    <row r="12" spans="1:7" ht="17.25" thickBot="1" x14ac:dyDescent="0.3">
      <c r="A12" s="25" t="s">
        <v>59</v>
      </c>
      <c r="B12" s="19"/>
      <c r="C12" s="28"/>
      <c r="D12" s="19"/>
      <c r="E12" s="22"/>
    </row>
    <row r="13" spans="1:7" ht="16.5" x14ac:dyDescent="0.25">
      <c r="A13" s="29" t="s">
        <v>60</v>
      </c>
      <c r="B13" s="17"/>
      <c r="C13" s="26"/>
      <c r="D13" s="17"/>
      <c r="E13" s="20"/>
    </row>
    <row r="14" spans="1:7" ht="16.5" x14ac:dyDescent="0.25">
      <c r="A14" s="24" t="s">
        <v>56</v>
      </c>
      <c r="B14" s="18"/>
      <c r="C14" s="27"/>
      <c r="D14" s="18"/>
      <c r="E14" s="21"/>
    </row>
    <row r="15" spans="1:7" ht="16.5" x14ac:dyDescent="0.25">
      <c r="A15" s="24" t="s">
        <v>57</v>
      </c>
      <c r="B15" s="18"/>
      <c r="C15" s="27"/>
      <c r="D15" s="18"/>
      <c r="E15" s="21"/>
    </row>
    <row r="16" spans="1:7" ht="16.5" x14ac:dyDescent="0.25">
      <c r="A16" s="24" t="s">
        <v>58</v>
      </c>
      <c r="B16" s="18"/>
      <c r="C16" s="27"/>
      <c r="D16" s="18"/>
      <c r="E16" s="21"/>
    </row>
    <row r="17" spans="1:5" ht="17.25" thickBot="1" x14ac:dyDescent="0.3">
      <c r="A17" s="25" t="s">
        <v>61</v>
      </c>
      <c r="B17" s="19"/>
      <c r="C17" s="28"/>
      <c r="D17" s="19"/>
      <c r="E17" s="22"/>
    </row>
    <row r="18" spans="1:5" ht="16.5" x14ac:dyDescent="0.25">
      <c r="A18" s="29" t="s">
        <v>62</v>
      </c>
      <c r="B18" s="17"/>
      <c r="C18" s="26"/>
      <c r="D18" s="17"/>
      <c r="E18" s="20"/>
    </row>
    <row r="19" spans="1:5" ht="16.5" x14ac:dyDescent="0.25">
      <c r="A19" s="24" t="s">
        <v>56</v>
      </c>
      <c r="B19" s="18"/>
      <c r="C19" s="27"/>
      <c r="D19" s="18"/>
      <c r="E19" s="21"/>
    </row>
    <row r="20" spans="1:5" ht="16.5" x14ac:dyDescent="0.25">
      <c r="A20" s="24" t="s">
        <v>57</v>
      </c>
      <c r="B20" s="18"/>
      <c r="C20" s="27"/>
      <c r="D20" s="18"/>
      <c r="E20" s="21"/>
    </row>
    <row r="21" spans="1:5" ht="16.5" x14ac:dyDescent="0.25">
      <c r="A21" s="24" t="s">
        <v>58</v>
      </c>
      <c r="B21" s="18"/>
      <c r="C21" s="27"/>
      <c r="D21" s="18"/>
      <c r="E21" s="21"/>
    </row>
    <row r="22" spans="1:5" ht="17.25" thickBot="1" x14ac:dyDescent="0.3">
      <c r="A22" s="25" t="s">
        <v>63</v>
      </c>
      <c r="B22" s="19"/>
      <c r="C22" s="28"/>
      <c r="D22" s="19"/>
      <c r="E22" s="22"/>
    </row>
    <row r="23" spans="1:5" ht="17.25" thickBot="1" x14ac:dyDescent="0.3">
      <c r="A23" s="30" t="s">
        <v>64</v>
      </c>
      <c r="B23" s="4"/>
      <c r="C23" s="6"/>
      <c r="D23" s="4"/>
      <c r="E23" s="5"/>
    </row>
    <row r="24" spans="1:5" ht="16.5" x14ac:dyDescent="0.25">
      <c r="A24" s="7"/>
    </row>
    <row r="26" spans="1:5" ht="16.5" x14ac:dyDescent="0.25">
      <c r="A26" s="14" t="s">
        <v>36</v>
      </c>
      <c r="C26" s="15"/>
      <c r="E26" s="15"/>
    </row>
    <row r="27" spans="1:5" x14ac:dyDescent="0.25">
      <c r="A27" s="12" t="s">
        <v>37</v>
      </c>
      <c r="B27" s="13"/>
      <c r="C27" s="13" t="s">
        <v>38</v>
      </c>
      <c r="D27" s="13"/>
      <c r="E27" s="13" t="s">
        <v>39</v>
      </c>
    </row>
    <row r="28" spans="1:5" ht="16.5" x14ac:dyDescent="0.25">
      <c r="A28" s="11"/>
    </row>
    <row r="29" spans="1:5" ht="16.5" x14ac:dyDescent="0.25">
      <c r="A29" s="11"/>
    </row>
    <row r="30" spans="1:5" ht="16.5" x14ac:dyDescent="0.25">
      <c r="A30" s="11" t="s">
        <v>33</v>
      </c>
    </row>
    <row r="31" spans="1:5" ht="16.5" x14ac:dyDescent="0.25">
      <c r="A31" s="11"/>
    </row>
  </sheetData>
  <mergeCells count="3">
    <mergeCell ref="A3:E3"/>
    <mergeCell ref="F1:G1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1.1план фхд (3)</vt:lpstr>
      <vt:lpstr>1.2план развития (3)</vt:lpstr>
      <vt:lpstr>1.1план фхд (4)</vt:lpstr>
      <vt:lpstr>1.2план развития (4)</vt:lpstr>
      <vt:lpstr>1.1план фхд (2)</vt:lpstr>
      <vt:lpstr>1.2план развития (2)</vt:lpstr>
      <vt:lpstr>2.отчет о выполнении</vt:lpstr>
      <vt:lpstr>3.справка о состоянии с </vt:lpstr>
      <vt:lpstr>'1.1план фхд (2)'!Заголовки_для_печати</vt:lpstr>
      <vt:lpstr>'1.1план фхд (3)'!Заголовки_для_печати</vt:lpstr>
      <vt:lpstr>'1.1план фхд (4)'!Заголовки_для_печати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2013-01-16T07:01:06Z</dcterms:modified>
</cp:coreProperties>
</file>