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95" yWindow="405" windowWidth="19440" windowHeight="11070" firstSheet="2" activeTab="2"/>
  </bookViews>
  <sheets>
    <sheet name="Лист3" sheetId="3" state="hidden" r:id="rId1"/>
    <sheet name="Лист7" sheetId="7" state="hidden" r:id="rId2"/>
    <sheet name="Общий 01.01.2017" sheetId="31" r:id="rId3"/>
  </sheets>
  <definedNames>
    <definedName name="_xlnm.Database" localSheetId="2">#REF!</definedName>
    <definedName name="_xlnm.Database">#REF!</definedName>
    <definedName name="_xlnm.Print_Area" localSheetId="0">Лист3!$A$1:$H$59</definedName>
    <definedName name="_xlnm.Print_Area" localSheetId="2">'Общий 01.01.2017'!$A$1:$DA$30</definedName>
    <definedName name="СИЗ" localSheetId="2">#REF!</definedName>
    <definedName name="СИЗ">#REF!</definedName>
    <definedName name="ставка" localSheetId="2">#REF!</definedName>
    <definedName name="ставка">#REF!</definedName>
    <definedName name="тариф" localSheetId="2">#REF!</definedName>
    <definedName name="тариф">#REF!</definedName>
    <definedName name="ФОТ1" localSheetId="2">#REF!</definedName>
    <definedName name="ФОТ1">#REF!</definedName>
    <definedName name="Э" localSheetId="2">#REF!</definedName>
    <definedName name="Э">#REF!</definedName>
  </definedNames>
  <calcPr calcId="145621"/>
</workbook>
</file>

<file path=xl/calcChain.xml><?xml version="1.0" encoding="utf-8"?>
<calcChain xmlns="http://schemas.openxmlformats.org/spreadsheetml/2006/main">
  <c r="P25" i="31" l="1"/>
  <c r="P23" i="31" s="1"/>
  <c r="O24" i="31"/>
  <c r="O23" i="31" s="1"/>
  <c r="P18" i="31"/>
  <c r="P17" i="31" s="1"/>
  <c r="O18" i="31"/>
  <c r="O17" i="31" s="1"/>
  <c r="P7" i="31"/>
  <c r="O7" i="31"/>
  <c r="N6" i="31"/>
  <c r="M6" i="31"/>
  <c r="L6" i="31"/>
  <c r="K6" i="31"/>
  <c r="J6" i="31"/>
  <c r="I6" i="31"/>
  <c r="H6" i="31"/>
  <c r="G6" i="31"/>
  <c r="O6" i="31" l="1"/>
  <c r="P6" i="31"/>
  <c r="BJ12" i="31"/>
  <c r="AI23" i="31" l="1"/>
  <c r="AI17" i="31"/>
  <c r="AI7" i="31"/>
  <c r="AI6" i="31" l="1"/>
  <c r="X23" i="31"/>
  <c r="BO11" i="31" l="1"/>
  <c r="BO30" i="31"/>
  <c r="BO29" i="31"/>
  <c r="BO28" i="31"/>
  <c r="BO27" i="31"/>
  <c r="BO25" i="31"/>
  <c r="BO24" i="31"/>
  <c r="BO22" i="31"/>
  <c r="BO21" i="31"/>
  <c r="BO20" i="31"/>
  <c r="BO19" i="31"/>
  <c r="BO16" i="31"/>
  <c r="BO15" i="31"/>
  <c r="BO14" i="31"/>
  <c r="BO12" i="31"/>
  <c r="BO10" i="31"/>
  <c r="BO9" i="31"/>
  <c r="BO8" i="31"/>
  <c r="BX31" i="31"/>
  <c r="BX30" i="31"/>
  <c r="BX29" i="31"/>
  <c r="BX28" i="31"/>
  <c r="BX27" i="31"/>
  <c r="BX26" i="31"/>
  <c r="BX25" i="31"/>
  <c r="BX23" i="31"/>
  <c r="BX22" i="31"/>
  <c r="BX21" i="31"/>
  <c r="BX20" i="31"/>
  <c r="BX17" i="31"/>
  <c r="BX16" i="31"/>
  <c r="BX12" i="31"/>
  <c r="BX11" i="31"/>
  <c r="BX10" i="31"/>
  <c r="BX9" i="31"/>
  <c r="BX8" i="31"/>
  <c r="BO7" i="31" l="1"/>
  <c r="BO23" i="31" l="1"/>
  <c r="BO18" i="31"/>
  <c r="BO17" i="31" s="1"/>
  <c r="D30" i="31"/>
  <c r="D29" i="31"/>
  <c r="D28" i="31"/>
  <c r="D27" i="31"/>
  <c r="D25" i="31"/>
  <c r="D24" i="31"/>
  <c r="D23" i="31" s="1"/>
  <c r="D22" i="31"/>
  <c r="D21" i="31"/>
  <c r="D20" i="31"/>
  <c r="D19" i="31"/>
  <c r="D16" i="31"/>
  <c r="D15" i="31"/>
  <c r="D12" i="31"/>
  <c r="D11" i="31"/>
  <c r="D10" i="31"/>
  <c r="D9" i="31"/>
  <c r="D8" i="31"/>
  <c r="BJ33" i="31"/>
  <c r="DA30" i="31"/>
  <c r="CZ30" i="31"/>
  <c r="CX30" i="31"/>
  <c r="CM30" i="31"/>
  <c r="BR30" i="31"/>
  <c r="BQ30" i="31"/>
  <c r="BP30" i="31"/>
  <c r="BJ30" i="31"/>
  <c r="AX30" i="31"/>
  <c r="AU30" i="31"/>
  <c r="DA29" i="31"/>
  <c r="CZ29" i="31"/>
  <c r="CX29" i="31"/>
  <c r="CM29" i="31"/>
  <c r="CI29" i="31"/>
  <c r="BR29" i="31"/>
  <c r="BQ29" i="31"/>
  <c r="BP29" i="31"/>
  <c r="BI29" i="31"/>
  <c r="AX29" i="31"/>
  <c r="AW29" i="31"/>
  <c r="AU29" i="31"/>
  <c r="DA28" i="31"/>
  <c r="CZ28" i="31"/>
  <c r="CX28" i="31"/>
  <c r="CM28" i="31"/>
  <c r="CI28" i="31"/>
  <c r="BR28" i="31"/>
  <c r="BQ28" i="31"/>
  <c r="BP28" i="31"/>
  <c r="BJ28" i="31"/>
  <c r="BI28" i="31"/>
  <c r="AX28" i="31"/>
  <c r="AW28" i="31"/>
  <c r="AU28" i="31"/>
  <c r="DA27" i="31"/>
  <c r="CZ27" i="31"/>
  <c r="CX27" i="31"/>
  <c r="CM27" i="31"/>
  <c r="CI27" i="31"/>
  <c r="BR27" i="31"/>
  <c r="BQ27" i="31"/>
  <c r="BP27" i="31"/>
  <c r="BJ27" i="31"/>
  <c r="BI27" i="31"/>
  <c r="AX27" i="31"/>
  <c r="AW27" i="31"/>
  <c r="AU27" i="31"/>
  <c r="CI26" i="31"/>
  <c r="BJ26" i="31"/>
  <c r="BI26" i="31"/>
  <c r="AW26" i="31"/>
  <c r="DA25" i="31"/>
  <c r="CZ25" i="31"/>
  <c r="CX25" i="31"/>
  <c r="CM25" i="31"/>
  <c r="CI25" i="31"/>
  <c r="BR25" i="31"/>
  <c r="BQ25" i="31"/>
  <c r="BP25" i="31"/>
  <c r="BJ25" i="31"/>
  <c r="BI25" i="31"/>
  <c r="AX25" i="31"/>
  <c r="AW25" i="31"/>
  <c r="AW23" i="31" s="1"/>
  <c r="AU25" i="31"/>
  <c r="DA24" i="31"/>
  <c r="CZ24" i="31"/>
  <c r="CZ23" i="31" s="1"/>
  <c r="CX24" i="31"/>
  <c r="CM24" i="31"/>
  <c r="CI24" i="31"/>
  <c r="BX24" i="31"/>
  <c r="BR24" i="31"/>
  <c r="BQ24" i="31"/>
  <c r="BP24" i="31"/>
  <c r="BJ24" i="31"/>
  <c r="BI24" i="31"/>
  <c r="AX24" i="31"/>
  <c r="AW24" i="31"/>
  <c r="AU24" i="31"/>
  <c r="CY23" i="31"/>
  <c r="CW23" i="31"/>
  <c r="CV23" i="31"/>
  <c r="CU23" i="31"/>
  <c r="CT23" i="31"/>
  <c r="CS23" i="31"/>
  <c r="CR23" i="31"/>
  <c r="CQ23" i="31"/>
  <c r="CP23" i="31"/>
  <c r="CO23" i="31"/>
  <c r="CN23" i="31"/>
  <c r="CL23" i="31"/>
  <c r="CK23" i="31"/>
  <c r="CJ23" i="31"/>
  <c r="CH23" i="31"/>
  <c r="CG23" i="31"/>
  <c r="CF23" i="31"/>
  <c r="CE23" i="31"/>
  <c r="CD23" i="31"/>
  <c r="CC23" i="31"/>
  <c r="CB23" i="31"/>
  <c r="CA23" i="31"/>
  <c r="BZ23" i="31"/>
  <c r="BW23" i="31"/>
  <c r="BV23" i="31"/>
  <c r="BU23" i="31"/>
  <c r="BT23" i="31"/>
  <c r="BS23" i="31"/>
  <c r="BR23" i="31"/>
  <c r="BN23" i="31"/>
  <c r="BM23" i="31"/>
  <c r="BL23" i="31"/>
  <c r="BK23" i="31"/>
  <c r="BH23" i="31"/>
  <c r="BG23" i="31"/>
  <c r="BF23" i="31"/>
  <c r="BE23" i="31"/>
  <c r="BD23" i="31"/>
  <c r="BC23" i="31"/>
  <c r="BB23" i="31"/>
  <c r="BA23" i="31"/>
  <c r="AZ23" i="31"/>
  <c r="AY23" i="31"/>
  <c r="AV23" i="31"/>
  <c r="AT23" i="31"/>
  <c r="AS23" i="31"/>
  <c r="AR23" i="31"/>
  <c r="AQ23" i="31"/>
  <c r="AP23" i="31"/>
  <c r="AO23" i="31"/>
  <c r="AN23" i="31"/>
  <c r="AM23" i="31"/>
  <c r="AL23" i="31"/>
  <c r="AK23" i="31"/>
  <c r="AJ23" i="31"/>
  <c r="AH23" i="31"/>
  <c r="AG23" i="31"/>
  <c r="AF23" i="31"/>
  <c r="AE23" i="31"/>
  <c r="AD23" i="31"/>
  <c r="AC23" i="31"/>
  <c r="AB23" i="31"/>
  <c r="AA23" i="31"/>
  <c r="Z23" i="31"/>
  <c r="Y23" i="31"/>
  <c r="V23" i="31"/>
  <c r="T23" i="31"/>
  <c r="E23" i="31"/>
  <c r="C23" i="31"/>
  <c r="DA22" i="31"/>
  <c r="CZ22" i="31"/>
  <c r="CX22" i="31"/>
  <c r="CM22" i="31"/>
  <c r="CI22" i="31"/>
  <c r="BR22" i="31"/>
  <c r="BQ22" i="31"/>
  <c r="BP22" i="31"/>
  <c r="BJ22" i="31"/>
  <c r="BI22" i="31"/>
  <c r="AX22" i="31"/>
  <c r="AW22" i="31"/>
  <c r="AU22" i="31"/>
  <c r="DA21" i="31"/>
  <c r="CZ21" i="31"/>
  <c r="CX21" i="31"/>
  <c r="CM21" i="31"/>
  <c r="CI21" i="31"/>
  <c r="BR21" i="31"/>
  <c r="BQ21" i="31"/>
  <c r="BP21" i="31"/>
  <c r="BJ21" i="31"/>
  <c r="BJ18" i="31" s="1"/>
  <c r="BJ17" i="31" s="1"/>
  <c r="BI21" i="31"/>
  <c r="AX21" i="31"/>
  <c r="AW21" i="31"/>
  <c r="AU21" i="31"/>
  <c r="DA20" i="31"/>
  <c r="CZ20" i="31"/>
  <c r="CX20" i="31"/>
  <c r="CM20" i="31"/>
  <c r="CI20" i="31"/>
  <c r="BR20" i="31"/>
  <c r="BQ20" i="31"/>
  <c r="BP20" i="31"/>
  <c r="BJ20" i="31"/>
  <c r="BI20" i="31"/>
  <c r="AX20" i="31"/>
  <c r="AW20" i="31"/>
  <c r="AW18" i="31" s="1"/>
  <c r="AW17" i="31" s="1"/>
  <c r="AU20" i="31"/>
  <c r="DA19" i="31"/>
  <c r="CZ19" i="31"/>
  <c r="CX19" i="31"/>
  <c r="CM19" i="31"/>
  <c r="CI19" i="31"/>
  <c r="BX19" i="31"/>
  <c r="BX18" i="31" s="1"/>
  <c r="BR19" i="31"/>
  <c r="BQ19" i="31"/>
  <c r="BP19" i="31"/>
  <c r="BJ19" i="31"/>
  <c r="BI19" i="31"/>
  <c r="AX19" i="31"/>
  <c r="AW19" i="31"/>
  <c r="AU19" i="31"/>
  <c r="CY18" i="31"/>
  <c r="CY17" i="31" s="1"/>
  <c r="CW18" i="31"/>
  <c r="CW17" i="31" s="1"/>
  <c r="CV18" i="31"/>
  <c r="CV17" i="31" s="1"/>
  <c r="CU18" i="31"/>
  <c r="CU17" i="31" s="1"/>
  <c r="CU6" i="31" s="1"/>
  <c r="CT18" i="31"/>
  <c r="CT17" i="31" s="1"/>
  <c r="CT6" i="31" s="1"/>
  <c r="CS18" i="31"/>
  <c r="CS17" i="31" s="1"/>
  <c r="CQ18" i="31"/>
  <c r="CQ17" i="31" s="1"/>
  <c r="CP18" i="31"/>
  <c r="CP17" i="31" s="1"/>
  <c r="CO18" i="31"/>
  <c r="CO17" i="31" s="1"/>
  <c r="CN18" i="31"/>
  <c r="CL18" i="31"/>
  <c r="CL17" i="31" s="1"/>
  <c r="CK18" i="31"/>
  <c r="CK17" i="31" s="1"/>
  <c r="CJ18" i="31"/>
  <c r="CJ17" i="31" s="1"/>
  <c r="CH18" i="31"/>
  <c r="CH17" i="31" s="1"/>
  <c r="CG18" i="31"/>
  <c r="CG17" i="31" s="1"/>
  <c r="CF18" i="31"/>
  <c r="CE18" i="31"/>
  <c r="CE17" i="31" s="1"/>
  <c r="CE6" i="31" s="1"/>
  <c r="CD18" i="31"/>
  <c r="CD17" i="31" s="1"/>
  <c r="CC18" i="31"/>
  <c r="CC17" i="31" s="1"/>
  <c r="CB18" i="31"/>
  <c r="CB17" i="31" s="1"/>
  <c r="CA18" i="31"/>
  <c r="CA17" i="31" s="1"/>
  <c r="BZ18" i="31"/>
  <c r="BZ17" i="31" s="1"/>
  <c r="BZ6" i="31" s="1"/>
  <c r="BW18" i="31"/>
  <c r="BW17" i="31" s="1"/>
  <c r="BV18" i="31"/>
  <c r="BV17" i="31" s="1"/>
  <c r="BV6" i="31" s="1"/>
  <c r="BU18" i="31"/>
  <c r="BU17" i="31" s="1"/>
  <c r="BT18" i="31"/>
  <c r="BS18" i="31"/>
  <c r="BM18" i="31"/>
  <c r="BM17" i="31" s="1"/>
  <c r="BH18" i="31"/>
  <c r="BG18" i="31"/>
  <c r="BF18" i="31"/>
  <c r="BF17" i="31" s="1"/>
  <c r="BE18" i="31"/>
  <c r="BE17" i="31" s="1"/>
  <c r="BD18" i="31"/>
  <c r="BB18" i="31"/>
  <c r="BB17" i="31" s="1"/>
  <c r="BA18" i="31"/>
  <c r="BA17" i="31" s="1"/>
  <c r="AZ18" i="31"/>
  <c r="AZ17" i="31" s="1"/>
  <c r="AY18" i="31"/>
  <c r="AV18" i="31"/>
  <c r="AV17" i="31" s="1"/>
  <c r="AT18" i="31"/>
  <c r="AT17" i="31" s="1"/>
  <c r="AS18" i="31"/>
  <c r="AS17" i="31" s="1"/>
  <c r="AR18" i="31"/>
  <c r="AR17" i="31" s="1"/>
  <c r="AQ18" i="31"/>
  <c r="AQ17" i="31" s="1"/>
  <c r="AO18" i="31"/>
  <c r="AO17" i="31" s="1"/>
  <c r="AO6" i="31" s="1"/>
  <c r="AN18" i="31"/>
  <c r="AN17" i="31" s="1"/>
  <c r="AN6" i="31" s="1"/>
  <c r="AM18" i="31"/>
  <c r="AL18" i="31"/>
  <c r="AL17" i="31" s="1"/>
  <c r="AK18" i="31"/>
  <c r="AK17" i="31" s="1"/>
  <c r="AK6" i="31" s="1"/>
  <c r="AJ18" i="31"/>
  <c r="AJ17" i="31" s="1"/>
  <c r="AH18" i="31"/>
  <c r="AG18" i="31"/>
  <c r="AG17" i="31" s="1"/>
  <c r="AG6" i="31" s="1"/>
  <c r="AF18" i="31"/>
  <c r="AF17" i="31" s="1"/>
  <c r="AF6" i="31" s="1"/>
  <c r="AE18" i="31"/>
  <c r="AD18" i="31"/>
  <c r="AC18" i="31"/>
  <c r="AC17" i="31" s="1"/>
  <c r="AC6" i="31" s="1"/>
  <c r="AB18" i="31"/>
  <c r="AB17" i="31" s="1"/>
  <c r="AB6" i="31" s="1"/>
  <c r="AA18" i="31"/>
  <c r="AA17" i="31" s="1"/>
  <c r="Z18" i="31"/>
  <c r="Z17" i="31" s="1"/>
  <c r="Y18" i="31"/>
  <c r="Y17" i="31" s="1"/>
  <c r="X17" i="31"/>
  <c r="V18" i="31"/>
  <c r="V17" i="31" s="1"/>
  <c r="V6" i="31" s="1"/>
  <c r="T18" i="31"/>
  <c r="T17" i="31" s="1"/>
  <c r="E18" i="31"/>
  <c r="C18" i="31"/>
  <c r="C17" i="31" s="1"/>
  <c r="CR17" i="31"/>
  <c r="CN17" i="31"/>
  <c r="CF17" i="31"/>
  <c r="BT17" i="31"/>
  <c r="BT6" i="31" s="1"/>
  <c r="BS17" i="31"/>
  <c r="BN17" i="31"/>
  <c r="BL17" i="31"/>
  <c r="BK17" i="31"/>
  <c r="BH17" i="31"/>
  <c r="BG17" i="31"/>
  <c r="BD17" i="31"/>
  <c r="BC17" i="31"/>
  <c r="BC6" i="31" s="1"/>
  <c r="AY17" i="31"/>
  <c r="AP17" i="31"/>
  <c r="AP6" i="31" s="1"/>
  <c r="AM17" i="31"/>
  <c r="AH17" i="31"/>
  <c r="AH6" i="31" s="1"/>
  <c r="AE17" i="31"/>
  <c r="AE6" i="31" s="1"/>
  <c r="AD17" i="31"/>
  <c r="E17" i="31"/>
  <c r="DA16" i="31"/>
  <c r="CZ16" i="31"/>
  <c r="CX16" i="31"/>
  <c r="CM16" i="31"/>
  <c r="CI16" i="31"/>
  <c r="BR16" i="31"/>
  <c r="BQ16" i="31"/>
  <c r="BP16" i="31"/>
  <c r="BJ16" i="31"/>
  <c r="BI16" i="31"/>
  <c r="AX16" i="31"/>
  <c r="AW16" i="31"/>
  <c r="AU16" i="31"/>
  <c r="DA15" i="31"/>
  <c r="CZ15" i="31"/>
  <c r="CX15" i="31"/>
  <c r="CM15" i="31"/>
  <c r="CI15" i="31"/>
  <c r="BR15" i="31"/>
  <c r="BQ15" i="31"/>
  <c r="BP15" i="31"/>
  <c r="BJ15" i="31"/>
  <c r="BI15" i="31"/>
  <c r="AX15" i="31"/>
  <c r="AW15" i="31"/>
  <c r="AU15" i="31"/>
  <c r="DA12" i="31"/>
  <c r="CZ12" i="31"/>
  <c r="CX12" i="31"/>
  <c r="CM12" i="31"/>
  <c r="CI12" i="31"/>
  <c r="BR12" i="31"/>
  <c r="BQ12" i="31"/>
  <c r="BP12" i="31"/>
  <c r="BI12" i="31"/>
  <c r="AX12" i="31"/>
  <c r="AU12" i="31"/>
  <c r="DA11" i="31"/>
  <c r="CZ11" i="31"/>
  <c r="CX11" i="31"/>
  <c r="CM11" i="31"/>
  <c r="CI11" i="31"/>
  <c r="BR11" i="31"/>
  <c r="BQ11" i="31"/>
  <c r="BP11" i="31"/>
  <c r="BJ11" i="31"/>
  <c r="BI11" i="31"/>
  <c r="AX11" i="31"/>
  <c r="AW11" i="31"/>
  <c r="AU11" i="31"/>
  <c r="DA10" i="31"/>
  <c r="CZ10" i="31"/>
  <c r="CX10" i="31"/>
  <c r="CM10" i="31"/>
  <c r="CI10" i="31"/>
  <c r="BR10" i="31"/>
  <c r="BQ10" i="31"/>
  <c r="BP10" i="31"/>
  <c r="BJ10" i="31"/>
  <c r="BI10" i="31"/>
  <c r="AX10" i="31"/>
  <c r="AW10" i="31"/>
  <c r="AU10" i="31"/>
  <c r="DA9" i="31"/>
  <c r="CZ9" i="31"/>
  <c r="CX9" i="31"/>
  <c r="CM9" i="31"/>
  <c r="CI9" i="31"/>
  <c r="BR9" i="31"/>
  <c r="BQ9" i="31"/>
  <c r="BP9" i="31"/>
  <c r="BJ9" i="31"/>
  <c r="BI9" i="31"/>
  <c r="AX9" i="31"/>
  <c r="AW9" i="31"/>
  <c r="AU9" i="31"/>
  <c r="DA8" i="31"/>
  <c r="CZ8" i="31"/>
  <c r="CX8" i="31"/>
  <c r="CM8" i="31"/>
  <c r="CI8" i="31"/>
  <c r="BR8" i="31"/>
  <c r="BQ8" i="31"/>
  <c r="BP8" i="31"/>
  <c r="BJ8" i="31"/>
  <c r="BI8" i="31"/>
  <c r="AX8" i="31"/>
  <c r="AW8" i="31"/>
  <c r="AU8" i="31"/>
  <c r="CY7" i="31"/>
  <c r="CV7" i="31"/>
  <c r="CV6" i="31" s="1"/>
  <c r="CT7" i="31"/>
  <c r="CN7" i="31"/>
  <c r="CL7" i="31"/>
  <c r="CK7" i="31"/>
  <c r="CJ7" i="31"/>
  <c r="CH7" i="31"/>
  <c r="CG7" i="31"/>
  <c r="CF7" i="31"/>
  <c r="CD7" i="31"/>
  <c r="CC7" i="31"/>
  <c r="CB7" i="31"/>
  <c r="CA7" i="31"/>
  <c r="BX7" i="31"/>
  <c r="BU7" i="31"/>
  <c r="BS7" i="31"/>
  <c r="BM7" i="31"/>
  <c r="BH7" i="31"/>
  <c r="BG7" i="31"/>
  <c r="BF7" i="31"/>
  <c r="BE7" i="31"/>
  <c r="BD7" i="31"/>
  <c r="BB7" i="31"/>
  <c r="BA7" i="31"/>
  <c r="AZ7" i="31"/>
  <c r="AY7" i="31"/>
  <c r="AV7" i="31"/>
  <c r="AT7" i="31"/>
  <c r="AS7" i="31"/>
  <c r="AR7" i="31"/>
  <c r="AQ7" i="31"/>
  <c r="AM7" i="31"/>
  <c r="AL7" i="31"/>
  <c r="AJ7" i="31"/>
  <c r="AD7" i="31"/>
  <c r="AD6" i="31" s="1"/>
  <c r="AA7" i="31"/>
  <c r="Z7" i="31"/>
  <c r="Y7" i="31"/>
  <c r="X7" i="31"/>
  <c r="T7" i="31"/>
  <c r="E7" i="31"/>
  <c r="C7" i="31"/>
  <c r="C6" i="31" s="1"/>
  <c r="BY6" i="31"/>
  <c r="U6" i="31"/>
  <c r="S6" i="31"/>
  <c r="R6" i="31"/>
  <c r="Q6" i="31"/>
  <c r="F6" i="31"/>
  <c r="AJ6" i="31" l="1"/>
  <c r="DA7" i="31"/>
  <c r="BK6" i="31"/>
  <c r="CP6" i="31"/>
  <c r="CX23" i="31"/>
  <c r="E6" i="31"/>
  <c r="Z6" i="31"/>
  <c r="C5" i="31" s="1"/>
  <c r="AS6" i="31"/>
  <c r="BL6" i="31"/>
  <c r="BP23" i="31"/>
  <c r="BP7" i="31"/>
  <c r="BP6" i="31" s="1"/>
  <c r="BI7" i="31"/>
  <c r="AX23" i="31"/>
  <c r="BQ23" i="31"/>
  <c r="CM23" i="31"/>
  <c r="CI23" i="31"/>
  <c r="D7" i="31"/>
  <c r="AL6" i="31"/>
  <c r="BD6" i="31"/>
  <c r="BQ18" i="31"/>
  <c r="BQ17" i="31" s="1"/>
  <c r="AV6" i="31"/>
  <c r="BI1" i="31"/>
  <c r="BN6" i="31"/>
  <c r="CG6" i="31"/>
  <c r="CL6" i="31"/>
  <c r="BI23" i="31"/>
  <c r="D18" i="31"/>
  <c r="D17" i="31" s="1"/>
  <c r="D6" i="31" s="1"/>
  <c r="BU6" i="31"/>
  <c r="BJ1" i="31"/>
  <c r="BJ7" i="31"/>
  <c r="AM6" i="31"/>
  <c r="AT6" i="31"/>
  <c r="CS6" i="31"/>
  <c r="CW6" i="31"/>
  <c r="CM18" i="31"/>
  <c r="CM17" i="31" s="1"/>
  <c r="AR6" i="31"/>
  <c r="AY6" i="31"/>
  <c r="BW6" i="31"/>
  <c r="CO6" i="31"/>
  <c r="Y6" i="31"/>
  <c r="BF6" i="31"/>
  <c r="BM6" i="31"/>
  <c r="CD6" i="31"/>
  <c r="CH6" i="31"/>
  <c r="CQ6" i="31"/>
  <c r="BP18" i="31"/>
  <c r="BP17" i="31" s="1"/>
  <c r="CI18" i="31"/>
  <c r="CI17" i="31" s="1"/>
  <c r="DA18" i="31"/>
  <c r="DA17" i="31" s="1"/>
  <c r="BI18" i="31"/>
  <c r="BI17" i="31" s="1"/>
  <c r="BR18" i="31"/>
  <c r="BR17" i="31" s="1"/>
  <c r="CZ18" i="31"/>
  <c r="CZ17" i="31" s="1"/>
  <c r="AX18" i="31"/>
  <c r="AX17" i="31" s="1"/>
  <c r="CX18" i="31"/>
  <c r="CX17" i="31" s="1"/>
  <c r="AZ6" i="31"/>
  <c r="BE6" i="31"/>
  <c r="CC6" i="31"/>
  <c r="BR7" i="31"/>
  <c r="CZ7" i="31"/>
  <c r="AX7" i="31"/>
  <c r="AX6" i="31" s="1"/>
  <c r="BQ7" i="31"/>
  <c r="CX7" i="31"/>
  <c r="CX6" i="31" s="1"/>
  <c r="AW7" i="31"/>
  <c r="AW6" i="31" s="1"/>
  <c r="CM7" i="31"/>
  <c r="CM6" i="31" s="1"/>
  <c r="CI7" i="31"/>
  <c r="AQ6" i="31"/>
  <c r="BG6" i="31"/>
  <c r="BB6" i="31"/>
  <c r="CA6" i="31"/>
  <c r="AU18" i="31"/>
  <c r="AU17" i="31" s="1"/>
  <c r="AU23" i="31"/>
  <c r="BJ23" i="31"/>
  <c r="T6" i="31"/>
  <c r="AU7" i="31"/>
  <c r="AA6" i="31"/>
  <c r="BH6" i="31"/>
  <c r="BS6" i="31"/>
  <c r="CK6" i="31"/>
  <c r="CY6" i="31"/>
  <c r="CB6" i="31"/>
  <c r="CF6" i="31"/>
  <c r="CJ6" i="31"/>
  <c r="CN6" i="31"/>
  <c r="CR6" i="31"/>
  <c r="DA23" i="31"/>
  <c r="X6" i="31"/>
  <c r="BX6" i="31"/>
  <c r="BO6" i="31"/>
  <c r="P37" i="31"/>
  <c r="P38" i="31" s="1"/>
  <c r="BA6" i="31"/>
  <c r="BI6" i="31" l="1"/>
  <c r="DA6" i="31"/>
  <c r="BQ6" i="31"/>
  <c r="BR6" i="31"/>
  <c r="CI6" i="31"/>
  <c r="O36" i="31"/>
  <c r="P36" i="31" s="1"/>
  <c r="O37" i="31"/>
  <c r="O38" i="31" s="1"/>
  <c r="AU6" i="31"/>
  <c r="CZ6" i="31"/>
  <c r="BJ6" i="31"/>
</calcChain>
</file>

<file path=xl/sharedStrings.xml><?xml version="1.0" encoding="utf-8"?>
<sst xmlns="http://schemas.openxmlformats.org/spreadsheetml/2006/main" count="360" uniqueCount="215">
  <si>
    <t>№ п/п</t>
  </si>
  <si>
    <t>Наименование</t>
  </si>
  <si>
    <t xml:space="preserve"> Содержание общего имущества конструктивных элементов жилых зданий </t>
  </si>
  <si>
    <t>1.1.</t>
  </si>
  <si>
    <t xml:space="preserve">  Содержание и ремонт конструктивных элементов жилых зданий; Работы, выполняемые в зданиях с подвалами </t>
  </si>
  <si>
    <t>1.2.</t>
  </si>
  <si>
    <t xml:space="preserve"> Работы, выполняемые для надлежащего содержания стен многоквартирных домов; работы, выполняемые в целях надлежащего содержания перегородок в многоквартирных домах; Работы, выполняемые в целях надлежащего содержания фасадов многоквартирных домов </t>
  </si>
  <si>
    <t>1.3.</t>
  </si>
  <si>
    <t xml:space="preserve"> Работы выполняемые в целях надлежащего содержания перекрытий и покрытия многоквартирных домов </t>
  </si>
  <si>
    <t>1.4.</t>
  </si>
  <si>
    <t xml:space="preserve">  Работы, выполняемые в целях надлежащего содержания крыш многоквартирных домов </t>
  </si>
  <si>
    <t>1.6.</t>
  </si>
  <si>
    <t xml:space="preserve">  Работы, выполняемые в целях надлежащего содержания внутренней отделки многоквартирных домов, - проверка состояния внутренней отделки </t>
  </si>
  <si>
    <t>1.7.</t>
  </si>
  <si>
    <t xml:space="preserve"> Работы, выполняемые в целях надлежащего содержания полов помещений, относящихся к общему имуществу в многоквартирном доме </t>
  </si>
  <si>
    <t>1.8.</t>
  </si>
  <si>
    <t xml:space="preserve">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 </t>
  </si>
  <si>
    <t xml:space="preserve"> Работы, выполняемые в целях надлежащего содержания систем вентиляции и дымоудаления многоквартирных домов </t>
  </si>
  <si>
    <t xml:space="preserve"> Текущий ремонт оборудования и систем инженерно-технического обеспечения, входящих в состав общего имущества в МКД </t>
  </si>
  <si>
    <t>2.1.</t>
  </si>
  <si>
    <t xml:space="preserve"> Содержание общего имущества  внутридомового инженерного  сантехнического оборудования  </t>
  </si>
  <si>
    <t>2.1.1.</t>
  </si>
  <si>
    <t xml:space="preserve">  Общие работы, выполняемые для надлежащего содержания систем водоснабжения (холодного и горячего), отопления и водоотведения в многоквартирных домах </t>
  </si>
  <si>
    <t>2.1.2.</t>
  </si>
  <si>
    <t xml:space="preserve"> Обслуживание  ОПУ </t>
  </si>
  <si>
    <t xml:space="preserve"> Работы, выполняемые в целях надлежащего содержания систем теплоснабжения (отопление, горячее водоснабжение) в многоквартирных домах </t>
  </si>
  <si>
    <t>2.2.</t>
  </si>
  <si>
    <t xml:space="preserve"> Содержание общего имущества  внутридомового инженерного  электротехнического оборудования  </t>
  </si>
  <si>
    <t xml:space="preserve"> Благоустройство и обеспечение санитарного состояния жилых зданий и придомовой территории </t>
  </si>
  <si>
    <t>3.1.</t>
  </si>
  <si>
    <t xml:space="preserve"> Содержание  МОП </t>
  </si>
  <si>
    <t>3.2.</t>
  </si>
  <si>
    <t xml:space="preserve"> Содержание  придомовой  территории </t>
  </si>
  <si>
    <t>3.3.</t>
  </si>
  <si>
    <t xml:space="preserve"> Содержание  детских  площадок  </t>
  </si>
  <si>
    <t xml:space="preserve"> Вывоз  ТБО </t>
  </si>
  <si>
    <t xml:space="preserve"> Вывоз  ЖБО </t>
  </si>
  <si>
    <t>6.</t>
  </si>
  <si>
    <t xml:space="preserve"> Аварийно-ремонтная служба </t>
  </si>
  <si>
    <t>7.</t>
  </si>
  <si>
    <t xml:space="preserve"> Управление ЖФ </t>
  </si>
  <si>
    <t xml:space="preserve">Тарифицированный перечень  услуг  и  работ  по  управлению,  содержанию  и  текущему  ремонту  МКД </t>
  </si>
  <si>
    <t>Размер платы за содержание общего  имущества  МКД (с учетом НДС)</t>
  </si>
  <si>
    <t>1.</t>
  </si>
  <si>
    <t>1.5.</t>
  </si>
  <si>
    <t>2.</t>
  </si>
  <si>
    <t>2.1.3.</t>
  </si>
  <si>
    <t>3.</t>
  </si>
  <si>
    <t>4.</t>
  </si>
  <si>
    <t>5.</t>
  </si>
  <si>
    <t>8.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</si>
  <si>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в МКД </t>
  </si>
  <si>
    <t>Организация</t>
  </si>
  <si>
    <t>Здание</t>
  </si>
  <si>
    <t>Начальный остаток</t>
  </si>
  <si>
    <t>Начислено</t>
  </si>
  <si>
    <t>Оплачено</t>
  </si>
  <si>
    <t>Конечный остаток</t>
  </si>
  <si>
    <t>Сумма просроченной задолженности</t>
  </si>
  <si>
    <t>Период взаиморасчетов</t>
  </si>
  <si>
    <t>Задолженность</t>
  </si>
  <si>
    <t>МУП ЖКХ п.Боровский</t>
  </si>
  <si>
    <t>8 Марта ул, д. 1</t>
  </si>
  <si>
    <t>Январь,2014</t>
  </si>
  <si>
    <t>Февраль,2014</t>
  </si>
  <si>
    <t>Март,2014</t>
  </si>
  <si>
    <t>Апрель,2014</t>
  </si>
  <si>
    <t>Май,2014</t>
  </si>
  <si>
    <t>Июнь,2014</t>
  </si>
  <si>
    <t>Июль,2014</t>
  </si>
  <si>
    <t>Август,2014</t>
  </si>
  <si>
    <t>Сентябрь,2014</t>
  </si>
  <si>
    <t>Октябрь,2014</t>
  </si>
  <si>
    <t>Ноябрь,2014</t>
  </si>
  <si>
    <t>Декабрь,2014</t>
  </si>
  <si>
    <t>Январь,2015</t>
  </si>
  <si>
    <t>Февраль,2015</t>
  </si>
  <si>
    <t>Март,2015</t>
  </si>
  <si>
    <t>Апрель,2015</t>
  </si>
  <si>
    <t>Май,2015</t>
  </si>
  <si>
    <t>Июнь,2015</t>
  </si>
  <si>
    <t>Июль,2015</t>
  </si>
  <si>
    <t>Август,2015</t>
  </si>
  <si>
    <t>Сентябрь,2015</t>
  </si>
  <si>
    <t>Мира ул, д. 23</t>
  </si>
  <si>
    <t>Мира ул, д. 24</t>
  </si>
  <si>
    <t>Итого</t>
  </si>
  <si>
    <t>Анализ задолженности</t>
  </si>
  <si>
    <t>Период: 2015 г.
Группировки строк: Организация; Здание; Период взаиморасчетов; 
Показатели: Начальный остаток; Начислено; Оплачено; Задолженность; Конечный остаток; Сумма просроченной задолженности; 
Отбор: Здание В группе из списка "Островского ул, д. 25; Островского ул, д. 35"</t>
  </si>
  <si>
    <t>Островского ул, д. 25</t>
  </si>
  <si>
    <t>Январь,2013</t>
  </si>
  <si>
    <t>Февраль,2013</t>
  </si>
  <si>
    <t>Март,2013</t>
  </si>
  <si>
    <t>Апрель,2013</t>
  </si>
  <si>
    <t>Май,2013</t>
  </si>
  <si>
    <t>Июнь,2013</t>
  </si>
  <si>
    <t>Октябрь,2013</t>
  </si>
  <si>
    <t>Ноябрь,2013</t>
  </si>
  <si>
    <t>Декабрь,2013</t>
  </si>
  <si>
    <t>Островского ул, д. 35</t>
  </si>
  <si>
    <t>Июль,2013</t>
  </si>
  <si>
    <t>Август,2013</t>
  </si>
  <si>
    <t>Сентябрь,2013</t>
  </si>
  <si>
    <t>содержание ЖФ</t>
  </si>
  <si>
    <t>ВСЕГО</t>
  </si>
  <si>
    <t>8 Марта ул, д. 2</t>
  </si>
  <si>
    <t>8 Марта ул, д. 4</t>
  </si>
  <si>
    <t>Андреевская ул, д. 54</t>
  </si>
  <si>
    <t>Б.Мареевых ул, д. 1</t>
  </si>
  <si>
    <t>Б.Мареевых ул, д. 2</t>
  </si>
  <si>
    <t>Б.Мареевых ул, д. 3</t>
  </si>
  <si>
    <t>Б.Мареевых ул, д. 4</t>
  </si>
  <si>
    <t>Б.Мареевых ул, д. 5</t>
  </si>
  <si>
    <t>Б.Мареевых ул, д. 7</t>
  </si>
  <si>
    <t>Б.Мареевых ул, д. 8</t>
  </si>
  <si>
    <t>Б.Мареевых ул, д. 9</t>
  </si>
  <si>
    <t>Вокзальная ул, д. 61</t>
  </si>
  <si>
    <t>Вокзальная ул, д. 62</t>
  </si>
  <si>
    <t>Вокзальная ул, д. 64</t>
  </si>
  <si>
    <t>Вокзальная ул, д. 67</t>
  </si>
  <si>
    <t>Герцена ул, д. 21</t>
  </si>
  <si>
    <t>Герцена ул, д. 22</t>
  </si>
  <si>
    <t>Кирпичный пер, д. 16а</t>
  </si>
  <si>
    <t>Ленинградская ул, д. 1</t>
  </si>
  <si>
    <t>Ленинградская ул, д. 10</t>
  </si>
  <si>
    <t>Ленинградская ул, д. 11</t>
  </si>
  <si>
    <t>Ленинградская ул, д. 13</t>
  </si>
  <si>
    <t>Ленинградская ул, д. 15</t>
  </si>
  <si>
    <t>Ленинградская ул, д. 16</t>
  </si>
  <si>
    <t>Ленинградская ул, д. 19</t>
  </si>
  <si>
    <t>Ленинградская ул, д. 2</t>
  </si>
  <si>
    <t>Ленинградская ул, д. 3</t>
  </si>
  <si>
    <t>Ленинградская ул, д. 4</t>
  </si>
  <si>
    <t>Ленинградская ул, д. 5</t>
  </si>
  <si>
    <t>Ленинградская ул, д. 6</t>
  </si>
  <si>
    <t>Ленинградская ул, д. 8</t>
  </si>
  <si>
    <t>Ленинградская ул, д. 9</t>
  </si>
  <si>
    <t>Максима Горького ул, д. 11</t>
  </si>
  <si>
    <t>Максима Горького ул, д. 2</t>
  </si>
  <si>
    <t>Максима Горького ул, д. 4</t>
  </si>
  <si>
    <t>Максима Горького ул, д. 6</t>
  </si>
  <si>
    <t>Максима Горького ул, д. 7</t>
  </si>
  <si>
    <t>Максима Горького ул, д. 8</t>
  </si>
  <si>
    <t>Максима Горького ул, д. 9</t>
  </si>
  <si>
    <t>Мира ул, д. 1</t>
  </si>
  <si>
    <t>Мира ул, д. 10</t>
  </si>
  <si>
    <t>Мира ул, д. 11</t>
  </si>
  <si>
    <t>Мира ул, д. 12</t>
  </si>
  <si>
    <t>Мира ул, д. 13</t>
  </si>
  <si>
    <t>Мира ул, д. 14</t>
  </si>
  <si>
    <t>Мира ул, д. 14а</t>
  </si>
  <si>
    <t>Мира ул, д. 15</t>
  </si>
  <si>
    <t>Мира ул, д. 16</t>
  </si>
  <si>
    <t>Мира ул, д. 17</t>
  </si>
  <si>
    <t>Мира ул, д. 18</t>
  </si>
  <si>
    <t>Мира ул, д. 19</t>
  </si>
  <si>
    <t>Мира ул, д. 2</t>
  </si>
  <si>
    <t>Мира ул, д. 20</t>
  </si>
  <si>
    <t>Мира ул, д. 22</t>
  </si>
  <si>
    <t>Мира ул, д. 26</t>
  </si>
  <si>
    <t>Мира ул, д. 26а</t>
  </si>
  <si>
    <t>Мира ул, д. 28</t>
  </si>
  <si>
    <t>Мира ул, д. 8</t>
  </si>
  <si>
    <t>Мира ул, д. 9</t>
  </si>
  <si>
    <t>Молодежная ул, д. 2</t>
  </si>
  <si>
    <t>Октябрьская ул, д. 1</t>
  </si>
  <si>
    <t>Октябрьская ул, д. 4</t>
  </si>
  <si>
    <t>Октябрьская ул, д. 6</t>
  </si>
  <si>
    <t>Октябрьская ул, д. 8</t>
  </si>
  <si>
    <t>Островского ул, д. 1</t>
  </si>
  <si>
    <t>Островского ул, д. 12</t>
  </si>
  <si>
    <t>Островского ул, д. 13</t>
  </si>
  <si>
    <t>Островского ул, д. 14</t>
  </si>
  <si>
    <t>Островского ул, д. 17</t>
  </si>
  <si>
    <t>Островского ул, д. 19</t>
  </si>
  <si>
    <t>Островского ул, д. 19/1</t>
  </si>
  <si>
    <t>Островского ул, д. 2</t>
  </si>
  <si>
    <t>Островского ул, д. 20</t>
  </si>
  <si>
    <t>Островского ул, д. 21</t>
  </si>
  <si>
    <t>Островского ул, д. 27</t>
  </si>
  <si>
    <t>Островского ул, д. 3</t>
  </si>
  <si>
    <t xml:space="preserve">Островского ул, д. 32 </t>
  </si>
  <si>
    <t>Островского ул, д. 5</t>
  </si>
  <si>
    <t>Первомайская ул, д. 21</t>
  </si>
  <si>
    <t>Первомайская ул, д. 6а</t>
  </si>
  <si>
    <t>Пушкина ул, д. 2</t>
  </si>
  <si>
    <t>Пушкина ул, д. 6</t>
  </si>
  <si>
    <t>Советская ул, д. 1</t>
  </si>
  <si>
    <t>Советская ул, д. 10</t>
  </si>
  <si>
    <t>Советская ул, д. 13</t>
  </si>
  <si>
    <t>Советская ул, д. 15</t>
  </si>
  <si>
    <t>Советская ул, д. 17</t>
  </si>
  <si>
    <t>Советская ул, д. 18</t>
  </si>
  <si>
    <t>Советская ул, д. 19</t>
  </si>
  <si>
    <t>Советская ул, д. 23</t>
  </si>
  <si>
    <t>Советская ул, д. 3</t>
  </si>
  <si>
    <t>Советская ул, д. 8</t>
  </si>
  <si>
    <t>Советская ул, д. 9</t>
  </si>
  <si>
    <t>Торфяная ул, д. 1</t>
  </si>
  <si>
    <t>Торфяная ул, д. 2</t>
  </si>
  <si>
    <t>Фабричная ул, д. 11</t>
  </si>
  <si>
    <t>Фабричная ул, д. 14</t>
  </si>
  <si>
    <t xml:space="preserve">  Работы, выполняемые в целях надлежащего содержания полов помещений, относящихся к общему имуществу в многоквартином доме</t>
  </si>
  <si>
    <t xml:space="preserve">9. </t>
  </si>
  <si>
    <t>Обслуживание домофона</t>
  </si>
  <si>
    <t>Дата проведения индексации</t>
  </si>
  <si>
    <t>10.</t>
  </si>
  <si>
    <t>Обслуживание котельной</t>
  </si>
  <si>
    <t>11.</t>
  </si>
  <si>
    <t>Содержание и страхование лифта</t>
  </si>
  <si>
    <t>Содержание ОПС</t>
  </si>
  <si>
    <t>Мира ул, д. 29                                         (на три года)</t>
  </si>
  <si>
    <t>12.</t>
  </si>
  <si>
    <t>Размер платы за содержание общего  имущества  МКД без НДС,   в том числе:</t>
  </si>
  <si>
    <t>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</si>
</sst>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0.000"/>
  </numFmts>
  <fonts count="27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9" fillId="0" borderId="0"/>
    <xf numFmtId="0" fontId="16" fillId="0" borderId="0"/>
    <xf numFmtId="0" fontId="15" fillId="0" borderId="0"/>
  </cellStyleXfs>
  <cellXfs count="118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7" fillId="2" borderId="3" xfId="1" applyNumberFormat="1" applyFont="1" applyFill="1" applyBorder="1" applyAlignment="1">
      <alignment horizontal="left" vertical="top" wrapText="1"/>
    </xf>
    <xf numFmtId="0" fontId="16" fillId="3" borderId="3" xfId="1" applyNumberFormat="1" applyFont="1" applyFill="1" applyBorder="1" applyAlignment="1">
      <alignment horizontal="left" vertical="top" wrapText="1"/>
    </xf>
    <xf numFmtId="4" fontId="16" fillId="3" borderId="3" xfId="1" applyNumberFormat="1" applyFont="1" applyFill="1" applyBorder="1" applyAlignment="1">
      <alignment horizontal="right" vertical="top"/>
    </xf>
    <xf numFmtId="165" fontId="16" fillId="3" borderId="3" xfId="1" applyNumberFormat="1" applyFont="1" applyFill="1" applyBorder="1" applyAlignment="1">
      <alignment horizontal="right" vertical="top"/>
    </xf>
    <xf numFmtId="0" fontId="16" fillId="0" borderId="3" xfId="1" applyNumberFormat="1" applyFont="1" applyBorder="1" applyAlignment="1">
      <alignment horizontal="left" vertical="top" indent="2"/>
    </xf>
    <xf numFmtId="0" fontId="16" fillId="0" borderId="3" xfId="1" applyNumberFormat="1" applyFont="1" applyBorder="1" applyAlignment="1">
      <alignment horizontal="left" vertical="top"/>
    </xf>
    <xf numFmtId="4" fontId="16" fillId="0" borderId="3" xfId="1" applyNumberFormat="1" applyFont="1" applyBorder="1" applyAlignment="1">
      <alignment horizontal="right" vertical="top"/>
    </xf>
    <xf numFmtId="165" fontId="16" fillId="0" borderId="3" xfId="1" applyNumberFormat="1" applyFont="1" applyBorder="1" applyAlignment="1">
      <alignment horizontal="right" vertical="top"/>
    </xf>
    <xf numFmtId="166" fontId="16" fillId="0" borderId="3" xfId="1" applyNumberFormat="1" applyFont="1" applyBorder="1" applyAlignment="1">
      <alignment horizontal="right" vertical="top"/>
    </xf>
    <xf numFmtId="0" fontId="16" fillId="0" borderId="3" xfId="1" applyNumberFormat="1" applyFont="1" applyBorder="1" applyAlignment="1">
      <alignment horizontal="right" vertical="top"/>
    </xf>
    <xf numFmtId="2" fontId="16" fillId="0" borderId="3" xfId="1" applyNumberFormat="1" applyFont="1" applyBorder="1" applyAlignment="1">
      <alignment horizontal="right" vertical="top"/>
    </xf>
    <xf numFmtId="3" fontId="16" fillId="3" borderId="3" xfId="1" applyNumberFormat="1" applyFont="1" applyFill="1" applyBorder="1" applyAlignment="1">
      <alignment horizontal="right" vertical="top"/>
    </xf>
    <xf numFmtId="3" fontId="16" fillId="0" borderId="3" xfId="1" applyNumberFormat="1" applyFont="1" applyBorder="1" applyAlignment="1">
      <alignment horizontal="right" vertical="top"/>
    </xf>
    <xf numFmtId="4" fontId="17" fillId="2" borderId="3" xfId="1" applyNumberFormat="1" applyFont="1" applyFill="1" applyBorder="1" applyAlignment="1">
      <alignment horizontal="right" vertical="top"/>
    </xf>
    <xf numFmtId="165" fontId="17" fillId="2" borderId="3" xfId="1" applyNumberFormat="1" applyFont="1" applyFill="1" applyBorder="1" applyAlignment="1">
      <alignment horizontal="right" vertical="top"/>
    </xf>
    <xf numFmtId="0" fontId="18" fillId="0" borderId="0" xfId="2" applyFont="1" applyAlignment="1">
      <alignment horizontal="left"/>
    </xf>
    <xf numFmtId="0" fontId="16" fillId="0" borderId="0" xfId="2"/>
    <xf numFmtId="0" fontId="17" fillId="2" borderId="3" xfId="2" applyNumberFormat="1" applyFont="1" applyFill="1" applyBorder="1" applyAlignment="1">
      <alignment horizontal="left" vertical="top" wrapText="1"/>
    </xf>
    <xf numFmtId="0" fontId="16" fillId="3" borderId="3" xfId="2" applyNumberFormat="1" applyFont="1" applyFill="1" applyBorder="1" applyAlignment="1">
      <alignment horizontal="left" vertical="top" wrapText="1"/>
    </xf>
    <xf numFmtId="4" fontId="16" fillId="3" borderId="3" xfId="2" applyNumberFormat="1" applyFont="1" applyFill="1" applyBorder="1" applyAlignment="1">
      <alignment horizontal="right" vertical="top"/>
    </xf>
    <xf numFmtId="0" fontId="16" fillId="0" borderId="3" xfId="2" applyNumberFormat="1" applyFont="1" applyBorder="1" applyAlignment="1">
      <alignment horizontal="left" vertical="top" indent="2"/>
    </xf>
    <xf numFmtId="0" fontId="16" fillId="0" borderId="3" xfId="2" applyNumberFormat="1" applyFont="1" applyBorder="1" applyAlignment="1">
      <alignment horizontal="left" vertical="top"/>
    </xf>
    <xf numFmtId="4" fontId="16" fillId="0" borderId="3" xfId="2" applyNumberFormat="1" applyFont="1" applyBorder="1" applyAlignment="1">
      <alignment horizontal="right" vertical="top"/>
    </xf>
    <xf numFmtId="2" fontId="16" fillId="0" borderId="3" xfId="2" applyNumberFormat="1" applyFont="1" applyBorder="1" applyAlignment="1">
      <alignment horizontal="right" vertical="top"/>
    </xf>
    <xf numFmtId="0" fontId="16" fillId="0" borderId="3" xfId="2" applyNumberFormat="1" applyFont="1" applyBorder="1" applyAlignment="1">
      <alignment horizontal="right" vertical="top"/>
    </xf>
    <xf numFmtId="166" fontId="16" fillId="0" borderId="3" xfId="2" applyNumberFormat="1" applyFont="1" applyBorder="1" applyAlignment="1">
      <alignment horizontal="right" vertical="top"/>
    </xf>
    <xf numFmtId="165" fontId="16" fillId="0" borderId="3" xfId="2" applyNumberFormat="1" applyFont="1" applyBorder="1" applyAlignment="1">
      <alignment horizontal="right" vertical="top"/>
    </xf>
    <xf numFmtId="4" fontId="17" fillId="2" borderId="3" xfId="2" applyNumberFormat="1" applyFont="1" applyFill="1" applyBorder="1" applyAlignment="1">
      <alignment horizontal="right" vertical="top"/>
    </xf>
    <xf numFmtId="165" fontId="16" fillId="3" borderId="3" xfId="2" applyNumberFormat="1" applyFont="1" applyFill="1" applyBorder="1" applyAlignment="1">
      <alignment horizontal="right" vertical="top"/>
    </xf>
    <xf numFmtId="165" fontId="17" fillId="2" borderId="3" xfId="2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 vertical="center" wrapText="1"/>
    </xf>
    <xf numFmtId="164" fontId="5" fillId="0" borderId="1" xfId="19" applyFont="1" applyFill="1" applyBorder="1" applyAlignment="1">
      <alignment horizontal="center" vertical="center"/>
    </xf>
    <xf numFmtId="164" fontId="6" fillId="0" borderId="1" xfId="19" applyFont="1" applyFill="1" applyBorder="1" applyAlignment="1">
      <alignment horizontal="center" vertical="center"/>
    </xf>
    <xf numFmtId="164" fontId="3" fillId="0" borderId="1" xfId="19" applyFont="1" applyFill="1" applyBorder="1" applyAlignment="1">
      <alignment horizontal="center" vertical="center" wrapText="1"/>
    </xf>
    <xf numFmtId="164" fontId="7" fillId="0" borderId="1" xfId="19" applyFont="1" applyFill="1" applyBorder="1" applyAlignment="1">
      <alignment horizontal="center" vertical="center" wrapText="1"/>
    </xf>
    <xf numFmtId="164" fontId="5" fillId="0" borderId="1" xfId="1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7" fontId="6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Border="1"/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2" fontId="14" fillId="0" borderId="1" xfId="8" applyNumberFormat="1" applyFont="1" applyFill="1" applyBorder="1" applyAlignment="1">
      <alignment horizontal="center" vertical="center"/>
    </xf>
    <xf numFmtId="4" fontId="5" fillId="0" borderId="1" xfId="8" applyNumberFormat="1" applyFont="1" applyFill="1" applyBorder="1" applyAlignment="1">
      <alignment horizontal="center" vertical="center"/>
    </xf>
    <xf numFmtId="4" fontId="6" fillId="0" borderId="1" xfId="8" applyNumberFormat="1" applyFont="1" applyFill="1" applyBorder="1" applyAlignment="1">
      <alignment horizontal="center" vertical="center"/>
    </xf>
    <xf numFmtId="2" fontId="4" fillId="0" borderId="1" xfId="8" applyNumberFormat="1" applyFont="1" applyFill="1" applyBorder="1" applyAlignment="1">
      <alignment horizontal="center" vertical="center" wrapText="1"/>
    </xf>
    <xf numFmtId="2" fontId="6" fillId="0" borderId="1" xfId="8" applyNumberFormat="1" applyFont="1" applyFill="1" applyBorder="1" applyAlignment="1">
      <alignment horizontal="center" vertical="center"/>
    </xf>
    <xf numFmtId="2" fontId="5" fillId="0" borderId="1" xfId="8" applyNumberFormat="1" applyFont="1" applyFill="1" applyBorder="1" applyAlignment="1">
      <alignment horizontal="center" vertical="center"/>
    </xf>
    <xf numFmtId="2" fontId="5" fillId="0" borderId="1" xfId="8" applyNumberFormat="1" applyFont="1" applyFill="1" applyBorder="1" applyAlignment="1">
      <alignment horizontal="center" vertical="center" wrapText="1"/>
    </xf>
    <xf numFmtId="167" fontId="6" fillId="0" borderId="1" xfId="8" applyNumberFormat="1" applyFont="1" applyFill="1" applyBorder="1" applyAlignment="1">
      <alignment horizontal="center" vertical="center"/>
    </xf>
    <xf numFmtId="2" fontId="13" fillId="0" borderId="1" xfId="8" applyNumberFormat="1" applyFont="1" applyFill="1" applyBorder="1" applyAlignment="1">
      <alignment horizontal="center" vertical="center"/>
    </xf>
    <xf numFmtId="2" fontId="3" fillId="0" borderId="1" xfId="8" applyNumberFormat="1" applyFont="1" applyFill="1" applyBorder="1" applyAlignment="1">
      <alignment horizontal="center" vertical="center" wrapText="1"/>
    </xf>
    <xf numFmtId="4" fontId="3" fillId="0" borderId="1" xfId="8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/>
    </xf>
    <xf numFmtId="2" fontId="1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2" fontId="4" fillId="0" borderId="6" xfId="0" applyNumberFormat="1" applyFont="1" applyFill="1" applyBorder="1" applyAlignment="1">
      <alignment horizontal="center" vertical="center" wrapText="1"/>
    </xf>
    <xf numFmtId="164" fontId="0" fillId="0" borderId="1" xfId="19" applyFont="1" applyBorder="1"/>
    <xf numFmtId="164" fontId="11" fillId="0" borderId="1" xfId="19" applyFont="1" applyFill="1" applyBorder="1" applyAlignment="1">
      <alignment horizontal="center" vertical="center"/>
    </xf>
    <xf numFmtId="164" fontId="5" fillId="0" borderId="6" xfId="19" applyFont="1" applyFill="1" applyBorder="1" applyAlignment="1">
      <alignment horizontal="center" vertical="center"/>
    </xf>
    <xf numFmtId="164" fontId="13" fillId="0" borderId="1" xfId="1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43" fontId="0" fillId="0" borderId="0" xfId="0" applyNumberFormat="1"/>
    <xf numFmtId="0" fontId="16" fillId="0" borderId="3" xfId="1" applyNumberFormat="1" applyFont="1" applyBorder="1" applyAlignment="1">
      <alignment horizontal="left" vertical="top" wrapText="1" indent="4"/>
    </xf>
    <xf numFmtId="0" fontId="17" fillId="2" borderId="3" xfId="1" applyNumberFormat="1" applyFont="1" applyFill="1" applyBorder="1" applyAlignment="1">
      <alignment horizontal="left" vertical="top"/>
    </xf>
    <xf numFmtId="0" fontId="17" fillId="2" borderId="3" xfId="1" applyNumberFormat="1" applyFont="1" applyFill="1" applyBorder="1" applyAlignment="1">
      <alignment horizontal="left" vertical="top" wrapText="1"/>
    </xf>
    <xf numFmtId="0" fontId="16" fillId="0" borderId="3" xfId="2" applyNumberFormat="1" applyFont="1" applyBorder="1" applyAlignment="1">
      <alignment horizontal="left" vertical="top" wrapText="1" indent="4"/>
    </xf>
    <xf numFmtId="0" fontId="17" fillId="2" borderId="3" xfId="2" applyNumberFormat="1" applyFont="1" applyFill="1" applyBorder="1" applyAlignment="1">
      <alignment horizontal="left" vertical="top"/>
    </xf>
    <xf numFmtId="0" fontId="17" fillId="2" borderId="3" xfId="2" applyNumberFormat="1" applyFont="1" applyFill="1" applyBorder="1" applyAlignment="1">
      <alignment horizontal="left" vertical="top" wrapText="1"/>
    </xf>
    <xf numFmtId="0" fontId="16" fillId="0" borderId="0" xfId="2" applyNumberForma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textRotation="90" wrapText="1"/>
    </xf>
    <xf numFmtId="14" fontId="26" fillId="0" borderId="1" xfId="0" applyNumberFormat="1" applyFont="1" applyBorder="1" applyAlignment="1">
      <alignment horizontal="center" vertical="center"/>
    </xf>
  </cellXfs>
  <cellStyles count="30">
    <cellStyle name="Обычный" xfId="0" builtinId="0"/>
    <cellStyle name="Обычный 2" xfId="3"/>
    <cellStyle name="Обычный 2 2" xfId="4"/>
    <cellStyle name="Обычный 2 2 2" xfId="28"/>
    <cellStyle name="Обычный 2 2 3" xfId="20"/>
    <cellStyle name="Обычный 2 3" xfId="7"/>
    <cellStyle name="Обычный 2 4" xfId="2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29"/>
    <cellStyle name="Обычный_Лист3" xfId="1"/>
    <cellStyle name="Обычный_Лист7" xfId="2"/>
    <cellStyle name="Процентный 2" xfId="6"/>
    <cellStyle name="Процентный 2 2" xfId="13"/>
    <cellStyle name="Процентный 3" xfId="14"/>
    <cellStyle name="Процентный 3 2" xfId="21"/>
    <cellStyle name="Процентный 5" xfId="15"/>
    <cellStyle name="Процентный 5 2" xfId="22"/>
    <cellStyle name="Финансовый" xfId="19" builtinId="3"/>
    <cellStyle name="Финансовый 2" xfId="5"/>
    <cellStyle name="Финансовый 2 2" xfId="16"/>
    <cellStyle name="Финансовый 2 2 2" xfId="23"/>
    <cellStyle name="Финансовый 3" xfId="17"/>
    <cellStyle name="Финансовый 3 2" xfId="24"/>
    <cellStyle name="Финансовый 4" xfId="26"/>
    <cellStyle name="Финансовый 5" xfId="18"/>
    <cellStyle name="Финансовый 5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F12" sqref="F12"/>
    </sheetView>
  </sheetViews>
  <sheetFormatPr defaultRowHeight="15" x14ac:dyDescent="0.25"/>
  <cols>
    <col min="1" max="1" width="19.28515625" customWidth="1"/>
    <col min="2" max="2" width="13.42578125" customWidth="1"/>
    <col min="3" max="4" width="14.85546875" customWidth="1"/>
    <col min="5" max="5" width="14.42578125" customWidth="1"/>
    <col min="6" max="6" width="15.140625" customWidth="1"/>
    <col min="7" max="7" width="14.85546875" customWidth="1"/>
    <col min="8" max="8" width="17.7109375" customWidth="1"/>
  </cols>
  <sheetData>
    <row r="1" spans="1:8" x14ac:dyDescent="0.25">
      <c r="A1" s="20" t="s">
        <v>52</v>
      </c>
      <c r="B1" s="20" t="s">
        <v>53</v>
      </c>
      <c r="C1" s="109" t="s">
        <v>54</v>
      </c>
      <c r="D1" s="109" t="s">
        <v>55</v>
      </c>
      <c r="E1" s="109" t="s">
        <v>56</v>
      </c>
      <c r="F1" s="109" t="s">
        <v>57</v>
      </c>
      <c r="G1" s="109"/>
      <c r="H1" s="109" t="s">
        <v>58</v>
      </c>
    </row>
    <row r="2" spans="1:8" ht="25.5" x14ac:dyDescent="0.25">
      <c r="A2" s="109" t="s">
        <v>59</v>
      </c>
      <c r="B2" s="109"/>
      <c r="C2" s="109"/>
      <c r="D2" s="109"/>
      <c r="E2" s="109"/>
      <c r="F2" s="20" t="s">
        <v>60</v>
      </c>
      <c r="G2" s="20" t="s">
        <v>57</v>
      </c>
      <c r="H2" s="109"/>
    </row>
    <row r="3" spans="1:8" x14ac:dyDescent="0.25">
      <c r="A3" s="21" t="s">
        <v>61</v>
      </c>
      <c r="B3" s="21" t="s">
        <v>62</v>
      </c>
      <c r="C3" s="22">
        <v>126535.53</v>
      </c>
      <c r="D3" s="23">
        <v>863737.2</v>
      </c>
      <c r="E3" s="23">
        <v>819832.4</v>
      </c>
      <c r="F3" s="22">
        <v>175200.79</v>
      </c>
      <c r="G3" s="22">
        <v>170440.33</v>
      </c>
      <c r="H3" s="22">
        <v>77140.11</v>
      </c>
    </row>
    <row r="4" spans="1:8" x14ac:dyDescent="0.25">
      <c r="A4" s="107" t="s">
        <v>63</v>
      </c>
      <c r="B4" s="107"/>
      <c r="C4" s="28">
        <v>767.6</v>
      </c>
      <c r="D4" s="29"/>
      <c r="E4" s="28">
        <v>266.10000000000002</v>
      </c>
      <c r="F4" s="28">
        <v>501.5</v>
      </c>
      <c r="G4" s="28">
        <v>501.5</v>
      </c>
      <c r="H4" s="28">
        <v>501.5</v>
      </c>
    </row>
    <row r="5" spans="1:8" x14ac:dyDescent="0.25">
      <c r="A5" s="107" t="s">
        <v>64</v>
      </c>
      <c r="B5" s="107"/>
      <c r="C5" s="30">
        <v>832.61</v>
      </c>
      <c r="D5" s="29"/>
      <c r="E5" s="29"/>
      <c r="F5" s="30">
        <v>832.61</v>
      </c>
      <c r="G5" s="30">
        <v>832.61</v>
      </c>
      <c r="H5" s="30">
        <v>832.61</v>
      </c>
    </row>
    <row r="6" spans="1:8" x14ac:dyDescent="0.25">
      <c r="A6" s="107" t="s">
        <v>65</v>
      </c>
      <c r="B6" s="107"/>
      <c r="C6" s="26">
        <v>1412.23</v>
      </c>
      <c r="D6" s="29"/>
      <c r="E6" s="30">
        <v>579.62</v>
      </c>
      <c r="F6" s="30">
        <v>832.61</v>
      </c>
      <c r="G6" s="30">
        <v>832.61</v>
      </c>
      <c r="H6" s="30">
        <v>832.61</v>
      </c>
    </row>
    <row r="7" spans="1:8" x14ac:dyDescent="0.25">
      <c r="A7" s="107" t="s">
        <v>66</v>
      </c>
      <c r="B7" s="107"/>
      <c r="C7" s="26">
        <v>1412.23</v>
      </c>
      <c r="D7" s="29"/>
      <c r="E7" s="30">
        <v>579.62</v>
      </c>
      <c r="F7" s="30">
        <v>832.61</v>
      </c>
      <c r="G7" s="30">
        <v>832.61</v>
      </c>
      <c r="H7" s="30">
        <v>832.61</v>
      </c>
    </row>
    <row r="8" spans="1:8" x14ac:dyDescent="0.25">
      <c r="A8" s="107" t="s">
        <v>67</v>
      </c>
      <c r="B8" s="107"/>
      <c r="C8" s="26">
        <v>1412.23</v>
      </c>
      <c r="D8" s="29"/>
      <c r="E8" s="30">
        <v>579.62</v>
      </c>
      <c r="F8" s="30">
        <v>832.61</v>
      </c>
      <c r="G8" s="30">
        <v>832.61</v>
      </c>
      <c r="H8" s="30">
        <v>832.61</v>
      </c>
    </row>
    <row r="9" spans="1:8" x14ac:dyDescent="0.25">
      <c r="A9" s="107" t="s">
        <v>68</v>
      </c>
      <c r="B9" s="107"/>
      <c r="C9" s="26">
        <v>1984.29</v>
      </c>
      <c r="D9" s="29"/>
      <c r="E9" s="30">
        <v>572.05999999999995</v>
      </c>
      <c r="F9" s="26">
        <v>1412.23</v>
      </c>
      <c r="G9" s="26">
        <v>1412.23</v>
      </c>
      <c r="H9" s="26">
        <v>1412.23</v>
      </c>
    </row>
    <row r="10" spans="1:8" x14ac:dyDescent="0.25">
      <c r="A10" s="107" t="s">
        <v>69</v>
      </c>
      <c r="B10" s="107"/>
      <c r="C10" s="26">
        <v>1984.29</v>
      </c>
      <c r="D10" s="29"/>
      <c r="E10" s="29"/>
      <c r="F10" s="26">
        <v>1984.29</v>
      </c>
      <c r="G10" s="26">
        <v>1984.29</v>
      </c>
      <c r="H10" s="26">
        <v>1984.29</v>
      </c>
    </row>
    <row r="11" spans="1:8" x14ac:dyDescent="0.25">
      <c r="A11" s="107" t="s">
        <v>70</v>
      </c>
      <c r="B11" s="107"/>
      <c r="C11" s="26">
        <v>2597.21</v>
      </c>
      <c r="D11" s="29"/>
      <c r="E11" s="30">
        <v>612.91999999999996</v>
      </c>
      <c r="F11" s="26">
        <v>1984.29</v>
      </c>
      <c r="G11" s="26">
        <v>1984.29</v>
      </c>
      <c r="H11" s="26">
        <v>1984.29</v>
      </c>
    </row>
    <row r="12" spans="1:8" x14ac:dyDescent="0.25">
      <c r="A12" s="107" t="s">
        <v>71</v>
      </c>
      <c r="B12" s="107"/>
      <c r="C12" s="27">
        <v>4850.7</v>
      </c>
      <c r="D12" s="29"/>
      <c r="E12" s="26">
        <v>2866.41</v>
      </c>
      <c r="F12" s="26">
        <v>1984.29</v>
      </c>
      <c r="G12" s="26">
        <v>1984.29</v>
      </c>
      <c r="H12" s="26">
        <v>1984.29</v>
      </c>
    </row>
    <row r="13" spans="1:8" x14ac:dyDescent="0.25">
      <c r="A13" s="107" t="s">
        <v>72</v>
      </c>
      <c r="B13" s="107"/>
      <c r="C13" s="26">
        <v>-7518.11</v>
      </c>
      <c r="D13" s="29"/>
      <c r="E13" s="26">
        <v>-8278.83</v>
      </c>
      <c r="F13" s="30">
        <v>760.72</v>
      </c>
      <c r="G13" s="30">
        <v>760.72</v>
      </c>
      <c r="H13" s="30">
        <v>760.72</v>
      </c>
    </row>
    <row r="14" spans="1:8" x14ac:dyDescent="0.25">
      <c r="A14" s="107" t="s">
        <v>73</v>
      </c>
      <c r="B14" s="107"/>
      <c r="C14" s="26">
        <v>13341.21</v>
      </c>
      <c r="D14" s="29"/>
      <c r="E14" s="26">
        <v>11928.98</v>
      </c>
      <c r="F14" s="26">
        <v>1412.23</v>
      </c>
      <c r="G14" s="26">
        <v>1412.23</v>
      </c>
      <c r="H14" s="26">
        <v>1412.23</v>
      </c>
    </row>
    <row r="15" spans="1:8" x14ac:dyDescent="0.25">
      <c r="A15" s="107" t="s">
        <v>74</v>
      </c>
      <c r="B15" s="107"/>
      <c r="C15" s="26">
        <v>103459.04</v>
      </c>
      <c r="D15" s="29"/>
      <c r="E15" s="26">
        <v>100895.13</v>
      </c>
      <c r="F15" s="26">
        <v>2563.91</v>
      </c>
      <c r="G15" s="26">
        <v>2563.91</v>
      </c>
      <c r="H15" s="26">
        <v>2563.91</v>
      </c>
    </row>
    <row r="16" spans="1:8" x14ac:dyDescent="0.25">
      <c r="A16" s="107" t="s">
        <v>75</v>
      </c>
      <c r="B16" s="107"/>
      <c r="C16" s="29"/>
      <c r="D16" s="26">
        <v>107967.15</v>
      </c>
      <c r="E16" s="26">
        <v>105295.58</v>
      </c>
      <c r="F16" s="26">
        <v>2671.57</v>
      </c>
      <c r="G16" s="26">
        <v>2671.57</v>
      </c>
      <c r="H16" s="26">
        <v>2671.57</v>
      </c>
    </row>
    <row r="17" spans="1:8" x14ac:dyDescent="0.25">
      <c r="A17" s="107" t="s">
        <v>76</v>
      </c>
      <c r="B17" s="107"/>
      <c r="C17" s="29"/>
      <c r="D17" s="26">
        <v>107967.15</v>
      </c>
      <c r="E17" s="26">
        <v>103697.79</v>
      </c>
      <c r="F17" s="26">
        <v>4269.3599999999997</v>
      </c>
      <c r="G17" s="26">
        <v>4269.3599999999997</v>
      </c>
      <c r="H17" s="26">
        <v>4269.3599999999997</v>
      </c>
    </row>
    <row r="18" spans="1:8" x14ac:dyDescent="0.25">
      <c r="A18" s="107" t="s">
        <v>77</v>
      </c>
      <c r="B18" s="107"/>
      <c r="C18" s="29"/>
      <c r="D18" s="26">
        <v>107967.15</v>
      </c>
      <c r="E18" s="26">
        <v>103105.55</v>
      </c>
      <c r="F18" s="27">
        <v>4861.6000000000004</v>
      </c>
      <c r="G18" s="27">
        <v>4861.6000000000004</v>
      </c>
      <c r="H18" s="27">
        <v>4861.6000000000004</v>
      </c>
    </row>
    <row r="19" spans="1:8" x14ac:dyDescent="0.25">
      <c r="A19" s="107" t="s">
        <v>78</v>
      </c>
      <c r="B19" s="107"/>
      <c r="C19" s="29"/>
      <c r="D19" s="26">
        <v>107967.15</v>
      </c>
      <c r="E19" s="26">
        <v>101652.61</v>
      </c>
      <c r="F19" s="26">
        <v>6314.54</v>
      </c>
      <c r="G19" s="26">
        <v>6314.54</v>
      </c>
      <c r="H19" s="26">
        <v>6314.54</v>
      </c>
    </row>
    <row r="20" spans="1:8" x14ac:dyDescent="0.25">
      <c r="A20" s="107" t="s">
        <v>79</v>
      </c>
      <c r="B20" s="107"/>
      <c r="C20" s="29"/>
      <c r="D20" s="26">
        <v>107967.15</v>
      </c>
      <c r="E20" s="26">
        <v>98404.02</v>
      </c>
      <c r="F20" s="26">
        <v>9563.1299999999992</v>
      </c>
      <c r="G20" s="26">
        <v>9563.1299999999992</v>
      </c>
      <c r="H20" s="26">
        <v>9563.1299999999992</v>
      </c>
    </row>
    <row r="21" spans="1:8" x14ac:dyDescent="0.25">
      <c r="A21" s="107" t="s">
        <v>80</v>
      </c>
      <c r="B21" s="107"/>
      <c r="C21" s="29"/>
      <c r="D21" s="26">
        <v>107967.15</v>
      </c>
      <c r="E21" s="26">
        <v>95525.53</v>
      </c>
      <c r="F21" s="26">
        <v>12441.62</v>
      </c>
      <c r="G21" s="26">
        <v>12441.62</v>
      </c>
      <c r="H21" s="26">
        <v>12441.62</v>
      </c>
    </row>
    <row r="22" spans="1:8" x14ac:dyDescent="0.25">
      <c r="A22" s="107" t="s">
        <v>81</v>
      </c>
      <c r="B22" s="107"/>
      <c r="C22" s="29"/>
      <c r="D22" s="26">
        <v>107967.15</v>
      </c>
      <c r="E22" s="26">
        <v>86882.76</v>
      </c>
      <c r="F22" s="26">
        <v>21084.39</v>
      </c>
      <c r="G22" s="26">
        <v>21084.39</v>
      </c>
      <c r="H22" s="26">
        <v>21084.39</v>
      </c>
    </row>
    <row r="23" spans="1:8" x14ac:dyDescent="0.25">
      <c r="A23" s="107" t="s">
        <v>82</v>
      </c>
      <c r="B23" s="107"/>
      <c r="C23" s="29"/>
      <c r="D23" s="26">
        <v>107967.15</v>
      </c>
      <c r="E23" s="26">
        <v>14649.81</v>
      </c>
      <c r="F23" s="26">
        <v>98060.68</v>
      </c>
      <c r="G23" s="26">
        <v>93317.34</v>
      </c>
      <c r="H23" s="29"/>
    </row>
    <row r="24" spans="1:8" x14ac:dyDescent="0.25">
      <c r="A24" s="107" t="s">
        <v>83</v>
      </c>
      <c r="B24" s="107"/>
      <c r="C24" s="29"/>
      <c r="D24" s="29"/>
      <c r="E24" s="30">
        <v>17.12</v>
      </c>
      <c r="F24" s="29"/>
      <c r="G24" s="30">
        <v>-17.12</v>
      </c>
      <c r="H24" s="29"/>
    </row>
    <row r="25" spans="1:8" x14ac:dyDescent="0.25">
      <c r="A25" s="21" t="s">
        <v>61</v>
      </c>
      <c r="B25" s="21" t="s">
        <v>84</v>
      </c>
      <c r="C25" s="22">
        <v>98356.37</v>
      </c>
      <c r="D25" s="22">
        <v>613393.12</v>
      </c>
      <c r="E25" s="22">
        <v>598318.01</v>
      </c>
      <c r="F25" s="22">
        <v>113961.16</v>
      </c>
      <c r="G25" s="22">
        <v>113431.48</v>
      </c>
      <c r="H25" s="31">
        <v>40487</v>
      </c>
    </row>
    <row r="26" spans="1:8" x14ac:dyDescent="0.25">
      <c r="A26" s="24"/>
      <c r="B26" s="25"/>
      <c r="C26" s="26">
        <v>98356.37</v>
      </c>
      <c r="D26" s="26">
        <v>613393.12</v>
      </c>
      <c r="E26" s="26">
        <v>598318.01</v>
      </c>
      <c r="F26" s="26">
        <v>113961.16</v>
      </c>
      <c r="G26" s="26">
        <v>113431.48</v>
      </c>
      <c r="H26" s="32">
        <v>40487</v>
      </c>
    </row>
    <row r="27" spans="1:8" x14ac:dyDescent="0.25">
      <c r="A27" s="107" t="s">
        <v>67</v>
      </c>
      <c r="B27" s="107"/>
      <c r="C27" s="30">
        <v>665.68</v>
      </c>
      <c r="D27" s="29"/>
      <c r="E27" s="30">
        <v>665.68</v>
      </c>
      <c r="F27" s="29"/>
      <c r="G27" s="29"/>
      <c r="H27" s="29"/>
    </row>
    <row r="28" spans="1:8" x14ac:dyDescent="0.25">
      <c r="A28" s="107" t="s">
        <v>68</v>
      </c>
      <c r="B28" s="107"/>
      <c r="C28" s="26">
        <v>1154.1300000000001</v>
      </c>
      <c r="D28" s="29"/>
      <c r="E28" s="26">
        <v>1154.1300000000001</v>
      </c>
      <c r="F28" s="29"/>
      <c r="G28" s="29"/>
      <c r="H28" s="29"/>
    </row>
    <row r="29" spans="1:8" x14ac:dyDescent="0.25">
      <c r="A29" s="107" t="s">
        <v>69</v>
      </c>
      <c r="B29" s="107"/>
      <c r="C29" s="26">
        <v>2959.13</v>
      </c>
      <c r="D29" s="29"/>
      <c r="E29" s="26">
        <v>2959.13</v>
      </c>
      <c r="F29" s="29"/>
      <c r="G29" s="29"/>
      <c r="H29" s="29"/>
    </row>
    <row r="30" spans="1:8" x14ac:dyDescent="0.25">
      <c r="A30" s="107" t="s">
        <v>70</v>
      </c>
      <c r="B30" s="107"/>
      <c r="C30" s="26">
        <v>3094.42</v>
      </c>
      <c r="D30" s="29"/>
      <c r="E30" s="26">
        <v>2848.52</v>
      </c>
      <c r="F30" s="28">
        <v>245.9</v>
      </c>
      <c r="G30" s="28">
        <v>245.9</v>
      </c>
      <c r="H30" s="28">
        <v>245.9</v>
      </c>
    </row>
    <row r="31" spans="1:8" x14ac:dyDescent="0.25">
      <c r="A31" s="107" t="s">
        <v>71</v>
      </c>
      <c r="B31" s="107"/>
      <c r="C31" s="26">
        <v>3094.42</v>
      </c>
      <c r="D31" s="29"/>
      <c r="E31" s="26">
        <v>2704.74</v>
      </c>
      <c r="F31" s="30">
        <v>389.68</v>
      </c>
      <c r="G31" s="30">
        <v>389.68</v>
      </c>
      <c r="H31" s="30">
        <v>389.68</v>
      </c>
    </row>
    <row r="32" spans="1:8" x14ac:dyDescent="0.25">
      <c r="A32" s="107" t="s">
        <v>72</v>
      </c>
      <c r="B32" s="107"/>
      <c r="C32" s="26">
        <v>4544.57</v>
      </c>
      <c r="D32" s="29"/>
      <c r="E32" s="26">
        <v>3863.97</v>
      </c>
      <c r="F32" s="28">
        <v>680.6</v>
      </c>
      <c r="G32" s="28">
        <v>680.6</v>
      </c>
      <c r="H32" s="28">
        <v>680.6</v>
      </c>
    </row>
    <row r="33" spans="1:8" x14ac:dyDescent="0.25">
      <c r="A33" s="107" t="s">
        <v>73</v>
      </c>
      <c r="B33" s="107"/>
      <c r="C33" s="26">
        <v>9513.09</v>
      </c>
      <c r="D33" s="29"/>
      <c r="E33" s="26">
        <v>8617.66</v>
      </c>
      <c r="F33" s="30">
        <v>895.43</v>
      </c>
      <c r="G33" s="30">
        <v>895.43</v>
      </c>
      <c r="H33" s="30">
        <v>895.43</v>
      </c>
    </row>
    <row r="34" spans="1:8" x14ac:dyDescent="0.25">
      <c r="A34" s="107" t="s">
        <v>74</v>
      </c>
      <c r="B34" s="107"/>
      <c r="C34" s="26">
        <v>73330.929999999993</v>
      </c>
      <c r="D34" s="29"/>
      <c r="E34" s="26">
        <v>72162.27</v>
      </c>
      <c r="F34" s="26">
        <v>1168.6600000000001</v>
      </c>
      <c r="G34" s="26">
        <v>1168.6600000000001</v>
      </c>
      <c r="H34" s="26">
        <v>1168.6600000000001</v>
      </c>
    </row>
    <row r="35" spans="1:8" x14ac:dyDescent="0.25">
      <c r="A35" s="107" t="s">
        <v>75</v>
      </c>
      <c r="B35" s="107"/>
      <c r="C35" s="29"/>
      <c r="D35" s="26">
        <v>76674.14</v>
      </c>
      <c r="E35" s="26">
        <v>75505.48</v>
      </c>
      <c r="F35" s="26">
        <v>1168.6600000000001</v>
      </c>
      <c r="G35" s="26">
        <v>1168.6600000000001</v>
      </c>
      <c r="H35" s="26">
        <v>1168.6600000000001</v>
      </c>
    </row>
    <row r="36" spans="1:8" x14ac:dyDescent="0.25">
      <c r="A36" s="107" t="s">
        <v>76</v>
      </c>
      <c r="B36" s="107"/>
      <c r="C36" s="29"/>
      <c r="D36" s="26">
        <v>76674.14</v>
      </c>
      <c r="E36" s="26">
        <v>75505.48</v>
      </c>
      <c r="F36" s="26">
        <v>1168.6600000000001</v>
      </c>
      <c r="G36" s="26">
        <v>1168.6600000000001</v>
      </c>
      <c r="H36" s="26">
        <v>1168.6600000000001</v>
      </c>
    </row>
    <row r="37" spans="1:8" x14ac:dyDescent="0.25">
      <c r="A37" s="107" t="s">
        <v>77</v>
      </c>
      <c r="B37" s="107"/>
      <c r="C37" s="29"/>
      <c r="D37" s="26">
        <v>76674.14</v>
      </c>
      <c r="E37" s="26">
        <v>73161.33</v>
      </c>
      <c r="F37" s="26">
        <v>3512.81</v>
      </c>
      <c r="G37" s="26">
        <v>3512.81</v>
      </c>
      <c r="H37" s="26">
        <v>3512.81</v>
      </c>
    </row>
    <row r="38" spans="1:8" x14ac:dyDescent="0.25">
      <c r="A38" s="107" t="s">
        <v>78</v>
      </c>
      <c r="B38" s="107"/>
      <c r="C38" s="29"/>
      <c r="D38" s="26">
        <v>76674.14</v>
      </c>
      <c r="E38" s="26">
        <v>72517.929999999993</v>
      </c>
      <c r="F38" s="26">
        <v>4156.21</v>
      </c>
      <c r="G38" s="26">
        <v>4156.21</v>
      </c>
      <c r="H38" s="26">
        <v>4156.21</v>
      </c>
    </row>
    <row r="39" spans="1:8" x14ac:dyDescent="0.25">
      <c r="A39" s="107" t="s">
        <v>79</v>
      </c>
      <c r="B39" s="107"/>
      <c r="C39" s="29"/>
      <c r="D39" s="26">
        <v>76674.14</v>
      </c>
      <c r="E39" s="26">
        <v>71202.52</v>
      </c>
      <c r="F39" s="26">
        <v>5471.62</v>
      </c>
      <c r="G39" s="26">
        <v>5471.62</v>
      </c>
      <c r="H39" s="26">
        <v>5471.62</v>
      </c>
    </row>
    <row r="40" spans="1:8" x14ac:dyDescent="0.25">
      <c r="A40" s="107" t="s">
        <v>80</v>
      </c>
      <c r="B40" s="107"/>
      <c r="C40" s="29"/>
      <c r="D40" s="26">
        <v>76674.14</v>
      </c>
      <c r="E40" s="26">
        <v>68760.929999999993</v>
      </c>
      <c r="F40" s="26">
        <v>7913.21</v>
      </c>
      <c r="G40" s="26">
        <v>7913.21</v>
      </c>
      <c r="H40" s="26">
        <v>7913.21</v>
      </c>
    </row>
    <row r="41" spans="1:8" x14ac:dyDescent="0.25">
      <c r="A41" s="107" t="s">
        <v>81</v>
      </c>
      <c r="B41" s="107"/>
      <c r="C41" s="29"/>
      <c r="D41" s="26">
        <v>76674.14</v>
      </c>
      <c r="E41" s="26">
        <v>62958.58</v>
      </c>
      <c r="F41" s="26">
        <v>14237.81</v>
      </c>
      <c r="G41" s="26">
        <v>13715.56</v>
      </c>
      <c r="H41" s="26">
        <v>13715.56</v>
      </c>
    </row>
    <row r="42" spans="1:8" x14ac:dyDescent="0.25">
      <c r="A42" s="107" t="s">
        <v>82</v>
      </c>
      <c r="B42" s="107"/>
      <c r="C42" s="29"/>
      <c r="D42" s="26">
        <v>76674.14</v>
      </c>
      <c r="E42" s="26">
        <v>3722.23</v>
      </c>
      <c r="F42" s="26">
        <v>72951.91</v>
      </c>
      <c r="G42" s="26">
        <v>72951.91</v>
      </c>
      <c r="H42" s="29"/>
    </row>
    <row r="43" spans="1:8" x14ac:dyDescent="0.25">
      <c r="A43" s="107" t="s">
        <v>83</v>
      </c>
      <c r="B43" s="107"/>
      <c r="C43" s="29"/>
      <c r="D43" s="29"/>
      <c r="E43" s="30">
        <v>7.43</v>
      </c>
      <c r="F43" s="29"/>
      <c r="G43" s="30">
        <v>-7.43</v>
      </c>
      <c r="H43" s="29"/>
    </row>
    <row r="44" spans="1:8" x14ac:dyDescent="0.25">
      <c r="A44" s="21" t="s">
        <v>61</v>
      </c>
      <c r="B44" s="21" t="s">
        <v>85</v>
      </c>
      <c r="C44" s="22">
        <v>96011.77</v>
      </c>
      <c r="D44" s="22">
        <v>628222.07999999996</v>
      </c>
      <c r="E44" s="22">
        <v>604701.78</v>
      </c>
      <c r="F44" s="22">
        <v>119778.06</v>
      </c>
      <c r="G44" s="22">
        <v>119532.07</v>
      </c>
      <c r="H44" s="22">
        <v>45512.37</v>
      </c>
    </row>
    <row r="45" spans="1:8" x14ac:dyDescent="0.25">
      <c r="A45" s="24"/>
      <c r="B45" s="25"/>
      <c r="C45" s="26">
        <v>96011.77</v>
      </c>
      <c r="D45" s="26">
        <v>628222.07999999996</v>
      </c>
      <c r="E45" s="26">
        <v>604701.78</v>
      </c>
      <c r="F45" s="26">
        <v>119778.06</v>
      </c>
      <c r="G45" s="26">
        <v>119532.07</v>
      </c>
      <c r="H45" s="26">
        <v>45512.37</v>
      </c>
    </row>
    <row r="46" spans="1:8" x14ac:dyDescent="0.25">
      <c r="A46" s="107" t="s">
        <v>71</v>
      </c>
      <c r="B46" s="107"/>
      <c r="C46" s="26">
        <v>2754.71</v>
      </c>
      <c r="D46" s="29"/>
      <c r="E46" s="26">
        <v>1927.83</v>
      </c>
      <c r="F46" s="30">
        <v>826.88</v>
      </c>
      <c r="G46" s="30">
        <v>826.88</v>
      </c>
      <c r="H46" s="30">
        <v>826.88</v>
      </c>
    </row>
    <row r="47" spans="1:8" x14ac:dyDescent="0.25">
      <c r="A47" s="107" t="s">
        <v>72</v>
      </c>
      <c r="B47" s="107"/>
      <c r="C47" s="26">
        <v>6407.12</v>
      </c>
      <c r="D47" s="29"/>
      <c r="E47" s="26">
        <v>5283.76</v>
      </c>
      <c r="F47" s="26">
        <v>1123.3599999999999</v>
      </c>
      <c r="G47" s="26">
        <v>1123.3599999999999</v>
      </c>
      <c r="H47" s="26">
        <v>1123.3599999999999</v>
      </c>
    </row>
    <row r="48" spans="1:8" x14ac:dyDescent="0.25">
      <c r="A48" s="107" t="s">
        <v>73</v>
      </c>
      <c r="B48" s="107"/>
      <c r="C48" s="26">
        <v>13589.73</v>
      </c>
      <c r="D48" s="29"/>
      <c r="E48" s="26">
        <v>12466.37</v>
      </c>
      <c r="F48" s="26">
        <v>1123.3599999999999</v>
      </c>
      <c r="G48" s="26">
        <v>1123.3599999999999</v>
      </c>
      <c r="H48" s="26">
        <v>1123.3599999999999</v>
      </c>
    </row>
    <row r="49" spans="1:8" x14ac:dyDescent="0.25">
      <c r="A49" s="107" t="s">
        <v>74</v>
      </c>
      <c r="B49" s="107"/>
      <c r="C49" s="26">
        <v>73260.210000000006</v>
      </c>
      <c r="D49" s="29"/>
      <c r="E49" s="26">
        <v>72136.850000000006</v>
      </c>
      <c r="F49" s="26">
        <v>1123.3599999999999</v>
      </c>
      <c r="G49" s="26">
        <v>1123.3599999999999</v>
      </c>
      <c r="H49" s="26">
        <v>1123.3599999999999</v>
      </c>
    </row>
    <row r="50" spans="1:8" x14ac:dyDescent="0.25">
      <c r="A50" s="107" t="s">
        <v>75</v>
      </c>
      <c r="B50" s="107"/>
      <c r="C50" s="29"/>
      <c r="D50" s="26">
        <v>78527.759999999995</v>
      </c>
      <c r="E50" s="27">
        <v>77404.399999999994</v>
      </c>
      <c r="F50" s="26">
        <v>1123.3599999999999</v>
      </c>
      <c r="G50" s="26">
        <v>1123.3599999999999</v>
      </c>
      <c r="H50" s="26">
        <v>1123.3599999999999</v>
      </c>
    </row>
    <row r="51" spans="1:8" x14ac:dyDescent="0.25">
      <c r="A51" s="107" t="s">
        <v>76</v>
      </c>
      <c r="B51" s="107"/>
      <c r="C51" s="29"/>
      <c r="D51" s="26">
        <v>78527.759999999995</v>
      </c>
      <c r="E51" s="27">
        <v>77404.399999999994</v>
      </c>
      <c r="F51" s="26">
        <v>1123.3599999999999</v>
      </c>
      <c r="G51" s="26">
        <v>1123.3599999999999</v>
      </c>
      <c r="H51" s="26">
        <v>1123.3599999999999</v>
      </c>
    </row>
    <row r="52" spans="1:8" x14ac:dyDescent="0.25">
      <c r="A52" s="107" t="s">
        <v>77</v>
      </c>
      <c r="B52" s="107"/>
      <c r="C52" s="29"/>
      <c r="D52" s="26">
        <v>78527.759999999995</v>
      </c>
      <c r="E52" s="26">
        <v>75488.14</v>
      </c>
      <c r="F52" s="26">
        <v>3039.62</v>
      </c>
      <c r="G52" s="26">
        <v>3039.62</v>
      </c>
      <c r="H52" s="26">
        <v>3039.62</v>
      </c>
    </row>
    <row r="53" spans="1:8" x14ac:dyDescent="0.25">
      <c r="A53" s="107" t="s">
        <v>78</v>
      </c>
      <c r="B53" s="107"/>
      <c r="C53" s="29"/>
      <c r="D53" s="26">
        <v>78527.759999999995</v>
      </c>
      <c r="E53" s="26">
        <v>72552.12</v>
      </c>
      <c r="F53" s="26">
        <v>5975.64</v>
      </c>
      <c r="G53" s="26">
        <v>5975.64</v>
      </c>
      <c r="H53" s="26">
        <v>5975.64</v>
      </c>
    </row>
    <row r="54" spans="1:8" x14ac:dyDescent="0.25">
      <c r="A54" s="107" t="s">
        <v>79</v>
      </c>
      <c r="B54" s="107"/>
      <c r="C54" s="29"/>
      <c r="D54" s="26">
        <v>78527.759999999995</v>
      </c>
      <c r="E54" s="26">
        <v>72000.12</v>
      </c>
      <c r="F54" s="26">
        <v>6527.64</v>
      </c>
      <c r="G54" s="26">
        <v>6527.64</v>
      </c>
      <c r="H54" s="26">
        <v>6527.64</v>
      </c>
    </row>
    <row r="55" spans="1:8" x14ac:dyDescent="0.25">
      <c r="A55" s="107" t="s">
        <v>80</v>
      </c>
      <c r="B55" s="107"/>
      <c r="C55" s="29"/>
      <c r="D55" s="26">
        <v>78527.759999999995</v>
      </c>
      <c r="E55" s="26">
        <v>71647.929999999993</v>
      </c>
      <c r="F55" s="26">
        <v>9497.68</v>
      </c>
      <c r="G55" s="26">
        <v>6879.83</v>
      </c>
      <c r="H55" s="26">
        <v>6879.83</v>
      </c>
    </row>
    <row r="56" spans="1:8" x14ac:dyDescent="0.25">
      <c r="A56" s="107" t="s">
        <v>81</v>
      </c>
      <c r="B56" s="107"/>
      <c r="C56" s="29"/>
      <c r="D56" s="26">
        <v>78527.759999999995</v>
      </c>
      <c r="E56" s="27">
        <v>61881.8</v>
      </c>
      <c r="F56" s="27">
        <v>15443.3</v>
      </c>
      <c r="G56" s="26">
        <v>16645.96</v>
      </c>
      <c r="H56" s="26">
        <v>16645.96</v>
      </c>
    </row>
    <row r="57" spans="1:8" x14ac:dyDescent="0.25">
      <c r="A57" s="107" t="s">
        <v>82</v>
      </c>
      <c r="B57" s="107"/>
      <c r="C57" s="29"/>
      <c r="D57" s="26">
        <v>78527.759999999995</v>
      </c>
      <c r="E57" s="27">
        <v>4474.6000000000004</v>
      </c>
      <c r="F57" s="27">
        <v>72850.5</v>
      </c>
      <c r="G57" s="26">
        <v>74053.16</v>
      </c>
      <c r="H57" s="29"/>
    </row>
    <row r="58" spans="1:8" x14ac:dyDescent="0.25">
      <c r="A58" s="107" t="s">
        <v>83</v>
      </c>
      <c r="B58" s="107"/>
      <c r="C58" s="29"/>
      <c r="D58" s="29"/>
      <c r="E58" s="30">
        <v>33.46</v>
      </c>
      <c r="F58" s="29"/>
      <c r="G58" s="30">
        <v>-33.46</v>
      </c>
      <c r="H58" s="29"/>
    </row>
    <row r="59" spans="1:8" x14ac:dyDescent="0.25">
      <c r="A59" s="108" t="s">
        <v>86</v>
      </c>
      <c r="B59" s="108"/>
      <c r="C59" s="33">
        <v>320903.67</v>
      </c>
      <c r="D59" s="34">
        <v>2105352.4</v>
      </c>
      <c r="E59" s="33">
        <v>2022852.19</v>
      </c>
      <c r="F59" s="33">
        <v>408940.01</v>
      </c>
      <c r="G59" s="33">
        <v>403403.88</v>
      </c>
      <c r="H59" s="33">
        <v>163139.48000000001</v>
      </c>
    </row>
  </sheetData>
  <mergeCells count="58">
    <mergeCell ref="H1:H2"/>
    <mergeCell ref="A2:B2"/>
    <mergeCell ref="A9:B9"/>
    <mergeCell ref="C1:C2"/>
    <mergeCell ref="D1:D2"/>
    <mergeCell ref="E1:E2"/>
    <mergeCell ref="F1:G1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A33:B33"/>
    <mergeCell ref="A34:B34"/>
    <mergeCell ref="A49:B49"/>
    <mergeCell ref="A36:B36"/>
    <mergeCell ref="A37:B37"/>
    <mergeCell ref="A38:B38"/>
    <mergeCell ref="A39:B39"/>
    <mergeCell ref="A40:B40"/>
    <mergeCell ref="A41:B41"/>
    <mergeCell ref="A42:B42"/>
    <mergeCell ref="A43:B43"/>
    <mergeCell ref="A46:B46"/>
    <mergeCell ref="A47:B47"/>
    <mergeCell ref="A48:B48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workbookViewId="0">
      <selection activeCell="D19" sqref="D19"/>
    </sheetView>
  </sheetViews>
  <sheetFormatPr defaultRowHeight="15" x14ac:dyDescent="0.25"/>
  <cols>
    <col min="4" max="4" width="13.28515625" customWidth="1"/>
    <col min="5" max="5" width="15" customWidth="1"/>
  </cols>
  <sheetData>
    <row r="1" spans="1:20" ht="15.75" x14ac:dyDescent="0.25">
      <c r="A1" s="35" t="s">
        <v>87</v>
      </c>
      <c r="B1" s="36"/>
      <c r="C1" s="36"/>
      <c r="D1" s="36"/>
      <c r="E1" s="36"/>
      <c r="F1" s="36"/>
      <c r="G1" s="36"/>
      <c r="H1" s="36"/>
    </row>
    <row r="2" spans="1:20" x14ac:dyDescent="0.25">
      <c r="A2" s="113" t="s">
        <v>88</v>
      </c>
      <c r="B2" s="113"/>
      <c r="C2" s="113"/>
      <c r="D2" s="113"/>
      <c r="E2" s="113"/>
      <c r="F2" s="113"/>
      <c r="G2" s="113"/>
      <c r="H2" s="113"/>
      <c r="N2" t="s">
        <v>103</v>
      </c>
    </row>
    <row r="3" spans="1:20" x14ac:dyDescent="0.25">
      <c r="A3" s="36" t="s">
        <v>104</v>
      </c>
      <c r="B3" s="36"/>
      <c r="C3" s="36"/>
      <c r="D3" s="36"/>
      <c r="E3" s="36"/>
      <c r="F3" s="36"/>
      <c r="G3" s="36"/>
      <c r="H3" s="36"/>
    </row>
    <row r="4" spans="1:20" ht="25.5" x14ac:dyDescent="0.25">
      <c r="A4" s="37" t="s">
        <v>52</v>
      </c>
      <c r="B4" s="37" t="s">
        <v>53</v>
      </c>
      <c r="C4" s="112" t="s">
        <v>54</v>
      </c>
      <c r="D4" s="112" t="s">
        <v>55</v>
      </c>
      <c r="E4" s="112" t="s">
        <v>56</v>
      </c>
      <c r="F4" s="112" t="s">
        <v>57</v>
      </c>
      <c r="G4" s="112"/>
      <c r="H4" s="112" t="s">
        <v>58</v>
      </c>
      <c r="M4" s="37" t="s">
        <v>52</v>
      </c>
      <c r="N4" s="37" t="s">
        <v>53</v>
      </c>
      <c r="O4" s="112" t="s">
        <v>54</v>
      </c>
      <c r="P4" s="112" t="s">
        <v>55</v>
      </c>
      <c r="Q4" s="112" t="s">
        <v>56</v>
      </c>
      <c r="R4" s="112" t="s">
        <v>57</v>
      </c>
      <c r="S4" s="112"/>
      <c r="T4" s="112" t="s">
        <v>58</v>
      </c>
    </row>
    <row r="5" spans="1:20" ht="25.5" x14ac:dyDescent="0.25">
      <c r="A5" s="112" t="s">
        <v>59</v>
      </c>
      <c r="B5" s="112"/>
      <c r="C5" s="112"/>
      <c r="D5" s="112"/>
      <c r="E5" s="112"/>
      <c r="F5" s="37" t="s">
        <v>60</v>
      </c>
      <c r="G5" s="37" t="s">
        <v>57</v>
      </c>
      <c r="H5" s="112"/>
      <c r="M5" s="112" t="s">
        <v>59</v>
      </c>
      <c r="N5" s="112"/>
      <c r="O5" s="112"/>
      <c r="P5" s="112"/>
      <c r="Q5" s="112"/>
      <c r="R5" s="37" t="s">
        <v>60</v>
      </c>
      <c r="S5" s="37" t="s">
        <v>57</v>
      </c>
      <c r="T5" s="112"/>
    </row>
    <row r="6" spans="1:20" ht="33.75" x14ac:dyDescent="0.25">
      <c r="A6" s="38" t="s">
        <v>61</v>
      </c>
      <c r="B6" s="38" t="s">
        <v>89</v>
      </c>
      <c r="C6" s="39">
        <v>190233.17</v>
      </c>
      <c r="D6" s="39">
        <v>1450504.18</v>
      </c>
      <c r="E6" s="39">
        <v>1497202.82</v>
      </c>
      <c r="F6" s="39">
        <v>144539.07</v>
      </c>
      <c r="G6" s="39">
        <v>143534.53</v>
      </c>
      <c r="H6" s="39">
        <v>24201.06</v>
      </c>
      <c r="M6" s="38" t="s">
        <v>61</v>
      </c>
      <c r="N6" s="38" t="s">
        <v>89</v>
      </c>
      <c r="O6" s="39">
        <v>49062.559999999998</v>
      </c>
      <c r="P6" s="48">
        <v>432775.2</v>
      </c>
      <c r="Q6" s="39">
        <v>424205.32</v>
      </c>
      <c r="R6" s="39">
        <v>57642.63</v>
      </c>
      <c r="S6" s="39">
        <v>57632.44</v>
      </c>
      <c r="T6" s="39">
        <v>10601.27</v>
      </c>
    </row>
    <row r="7" spans="1:20" x14ac:dyDescent="0.25">
      <c r="A7" s="40"/>
      <c r="B7" s="41"/>
      <c r="C7" s="42">
        <v>190233.17</v>
      </c>
      <c r="D7" s="42">
        <v>1450504.18</v>
      </c>
      <c r="E7" s="42">
        <v>1497202.82</v>
      </c>
      <c r="F7" s="42">
        <v>144539.07</v>
      </c>
      <c r="G7" s="42">
        <v>143534.53</v>
      </c>
      <c r="H7" s="42">
        <v>24201.06</v>
      </c>
      <c r="M7" s="40"/>
      <c r="N7" s="41"/>
      <c r="O7" s="42">
        <v>49062.559999999998</v>
      </c>
      <c r="P7" s="46">
        <v>432775.2</v>
      </c>
      <c r="Q7" s="42">
        <v>424205.32</v>
      </c>
      <c r="R7" s="42">
        <v>57642.63</v>
      </c>
      <c r="S7" s="42">
        <v>57632.44</v>
      </c>
      <c r="T7" s="42">
        <v>10601.27</v>
      </c>
    </row>
    <row r="8" spans="1:20" x14ac:dyDescent="0.25">
      <c r="A8" s="110" t="s">
        <v>90</v>
      </c>
      <c r="B8" s="110"/>
      <c r="C8" s="43">
        <v>40.159999999999997</v>
      </c>
      <c r="D8" s="44"/>
      <c r="E8" s="43">
        <v>40.159999999999997</v>
      </c>
      <c r="F8" s="44"/>
      <c r="G8" s="44"/>
      <c r="H8" s="44"/>
      <c r="M8" s="110" t="s">
        <v>71</v>
      </c>
      <c r="N8" s="110"/>
      <c r="O8" s="43">
        <v>528.27</v>
      </c>
      <c r="P8" s="44"/>
      <c r="Q8" s="43">
        <v>528.27</v>
      </c>
      <c r="R8" s="44"/>
      <c r="S8" s="44"/>
      <c r="T8" s="44"/>
    </row>
    <row r="9" spans="1:20" x14ac:dyDescent="0.25">
      <c r="A9" s="110" t="s">
        <v>91</v>
      </c>
      <c r="B9" s="110"/>
      <c r="C9" s="43">
        <v>19.63</v>
      </c>
      <c r="D9" s="44"/>
      <c r="E9" s="43">
        <v>19.63</v>
      </c>
      <c r="F9" s="44"/>
      <c r="G9" s="44"/>
      <c r="H9" s="44"/>
      <c r="M9" s="110" t="s">
        <v>72</v>
      </c>
      <c r="N9" s="110"/>
      <c r="O9" s="43">
        <v>889.25</v>
      </c>
      <c r="P9" s="44"/>
      <c r="Q9" s="43">
        <v>889.25</v>
      </c>
      <c r="R9" s="44"/>
      <c r="S9" s="44"/>
      <c r="T9" s="44"/>
    </row>
    <row r="10" spans="1:20" x14ac:dyDescent="0.25">
      <c r="A10" s="110" t="s">
        <v>92</v>
      </c>
      <c r="B10" s="110"/>
      <c r="C10" s="43">
        <v>14.42</v>
      </c>
      <c r="D10" s="44"/>
      <c r="E10" s="43">
        <v>14.42</v>
      </c>
      <c r="F10" s="44"/>
      <c r="G10" s="44"/>
      <c r="H10" s="44"/>
      <c r="M10" s="110" t="s">
        <v>73</v>
      </c>
      <c r="N10" s="110"/>
      <c r="O10" s="42">
        <v>2553.48</v>
      </c>
      <c r="P10" s="44"/>
      <c r="Q10" s="42">
        <v>2553.48</v>
      </c>
      <c r="R10" s="44"/>
      <c r="S10" s="44"/>
      <c r="T10" s="44"/>
    </row>
    <row r="11" spans="1:20" x14ac:dyDescent="0.25">
      <c r="A11" s="110" t="s">
        <v>93</v>
      </c>
      <c r="B11" s="110"/>
      <c r="C11" s="43">
        <v>37.630000000000003</v>
      </c>
      <c r="D11" s="44"/>
      <c r="E11" s="43">
        <v>37.630000000000003</v>
      </c>
      <c r="F11" s="44"/>
      <c r="G11" s="44"/>
      <c r="H11" s="44"/>
      <c r="M11" s="110" t="s">
        <v>74</v>
      </c>
      <c r="N11" s="110"/>
      <c r="O11" s="42">
        <v>45091.56</v>
      </c>
      <c r="P11" s="44"/>
      <c r="Q11" s="42">
        <v>45091.56</v>
      </c>
      <c r="R11" s="44"/>
      <c r="S11" s="44"/>
      <c r="T11" s="44"/>
    </row>
    <row r="12" spans="1:20" x14ac:dyDescent="0.25">
      <c r="A12" s="110" t="s">
        <v>94</v>
      </c>
      <c r="B12" s="110"/>
      <c r="C12" s="43">
        <v>55.43</v>
      </c>
      <c r="D12" s="44"/>
      <c r="E12" s="43">
        <v>55.43</v>
      </c>
      <c r="F12" s="44"/>
      <c r="G12" s="44"/>
      <c r="H12" s="44"/>
      <c r="M12" s="110" t="s">
        <v>75</v>
      </c>
      <c r="N12" s="110"/>
      <c r="O12" s="44"/>
      <c r="P12" s="46">
        <v>54096.9</v>
      </c>
      <c r="Q12" s="46">
        <v>54096.9</v>
      </c>
      <c r="R12" s="44"/>
      <c r="S12" s="44"/>
      <c r="T12" s="44"/>
    </row>
    <row r="13" spans="1:20" x14ac:dyDescent="0.25">
      <c r="A13" s="110" t="s">
        <v>95</v>
      </c>
      <c r="B13" s="110"/>
      <c r="C13" s="43">
        <v>102.05</v>
      </c>
      <c r="D13" s="44"/>
      <c r="E13" s="43">
        <v>102.05</v>
      </c>
      <c r="F13" s="44"/>
      <c r="G13" s="44"/>
      <c r="H13" s="44"/>
      <c r="M13" s="110" t="s">
        <v>76</v>
      </c>
      <c r="N13" s="110"/>
      <c r="O13" s="44"/>
      <c r="P13" s="46">
        <v>54096.9</v>
      </c>
      <c r="Q13" s="46">
        <v>54096.9</v>
      </c>
      <c r="R13" s="44"/>
      <c r="S13" s="44"/>
      <c r="T13" s="44"/>
    </row>
    <row r="14" spans="1:20" x14ac:dyDescent="0.25">
      <c r="A14" s="110" t="s">
        <v>96</v>
      </c>
      <c r="B14" s="110"/>
      <c r="C14" s="43">
        <v>81.93</v>
      </c>
      <c r="D14" s="44"/>
      <c r="E14" s="43">
        <v>81.93</v>
      </c>
      <c r="F14" s="44"/>
      <c r="G14" s="44"/>
      <c r="H14" s="44"/>
      <c r="M14" s="110" t="s">
        <v>77</v>
      </c>
      <c r="N14" s="110"/>
      <c r="O14" s="44"/>
      <c r="P14" s="46">
        <v>54096.9</v>
      </c>
      <c r="Q14" s="46">
        <v>54096.9</v>
      </c>
      <c r="R14" s="44"/>
      <c r="S14" s="44"/>
      <c r="T14" s="44"/>
    </row>
    <row r="15" spans="1:20" x14ac:dyDescent="0.25">
      <c r="A15" s="110" t="s">
        <v>97</v>
      </c>
      <c r="B15" s="110"/>
      <c r="C15" s="43">
        <v>15.81</v>
      </c>
      <c r="D15" s="44"/>
      <c r="E15" s="43">
        <v>15.81</v>
      </c>
      <c r="F15" s="44"/>
      <c r="G15" s="44"/>
      <c r="H15" s="44"/>
      <c r="M15" s="110" t="s">
        <v>78</v>
      </c>
      <c r="N15" s="110"/>
      <c r="O15" s="44"/>
      <c r="P15" s="46">
        <v>54096.9</v>
      </c>
      <c r="Q15" s="42">
        <v>53749.93</v>
      </c>
      <c r="R15" s="43">
        <v>346.97</v>
      </c>
      <c r="S15" s="43">
        <v>346.97</v>
      </c>
      <c r="T15" s="43">
        <v>346.97</v>
      </c>
    </row>
    <row r="16" spans="1:20" x14ac:dyDescent="0.25">
      <c r="A16" s="110" t="s">
        <v>98</v>
      </c>
      <c r="B16" s="110"/>
      <c r="C16" s="43">
        <v>32.04</v>
      </c>
      <c r="D16" s="44"/>
      <c r="E16" s="43">
        <v>32.04</v>
      </c>
      <c r="F16" s="44"/>
      <c r="G16" s="44"/>
      <c r="H16" s="44"/>
      <c r="M16" s="110" t="s">
        <v>79</v>
      </c>
      <c r="N16" s="110"/>
      <c r="O16" s="44"/>
      <c r="P16" s="46">
        <v>54096.9</v>
      </c>
      <c r="Q16" s="42">
        <v>51760.11</v>
      </c>
      <c r="R16" s="42">
        <v>2336.79</v>
      </c>
      <c r="S16" s="42">
        <v>2336.79</v>
      </c>
      <c r="T16" s="42">
        <v>2336.79</v>
      </c>
    </row>
    <row r="17" spans="1:20" x14ac:dyDescent="0.25">
      <c r="A17" s="110" t="s">
        <v>63</v>
      </c>
      <c r="B17" s="110"/>
      <c r="C17" s="43">
        <v>49.98</v>
      </c>
      <c r="D17" s="44"/>
      <c r="E17" s="43">
        <v>49.98</v>
      </c>
      <c r="F17" s="44"/>
      <c r="G17" s="44"/>
      <c r="H17" s="44"/>
      <c r="M17" s="110" t="s">
        <v>80</v>
      </c>
      <c r="N17" s="110"/>
      <c r="O17" s="44"/>
      <c r="P17" s="46">
        <v>54096.9</v>
      </c>
      <c r="Q17" s="42">
        <v>52546.34</v>
      </c>
      <c r="R17" s="42">
        <v>1550.56</v>
      </c>
      <c r="S17" s="42">
        <v>1550.56</v>
      </c>
      <c r="T17" s="42">
        <v>1550.56</v>
      </c>
    </row>
    <row r="18" spans="1:20" x14ac:dyDescent="0.25">
      <c r="A18" s="110" t="s">
        <v>64</v>
      </c>
      <c r="B18" s="110"/>
      <c r="C18" s="45">
        <v>47.1</v>
      </c>
      <c r="D18" s="44"/>
      <c r="E18" s="45">
        <v>47.1</v>
      </c>
      <c r="F18" s="44"/>
      <c r="G18" s="44"/>
      <c r="H18" s="44"/>
      <c r="M18" s="110" t="s">
        <v>81</v>
      </c>
      <c r="N18" s="110"/>
      <c r="O18" s="44"/>
      <c r="P18" s="46">
        <v>54096.9</v>
      </c>
      <c r="Q18" s="42">
        <v>47729.95</v>
      </c>
      <c r="R18" s="42">
        <v>6366.95</v>
      </c>
      <c r="S18" s="42">
        <v>6366.95</v>
      </c>
      <c r="T18" s="42">
        <v>6366.95</v>
      </c>
    </row>
    <row r="19" spans="1:20" x14ac:dyDescent="0.25">
      <c r="A19" s="110" t="s">
        <v>65</v>
      </c>
      <c r="B19" s="110"/>
      <c r="C19" s="43">
        <v>77.75</v>
      </c>
      <c r="D19" s="44"/>
      <c r="E19" s="43">
        <v>77.75</v>
      </c>
      <c r="F19" s="44"/>
      <c r="G19" s="44"/>
      <c r="H19" s="44"/>
      <c r="M19" s="110" t="s">
        <v>82</v>
      </c>
      <c r="N19" s="110"/>
      <c r="O19" s="44"/>
      <c r="P19" s="46">
        <v>54096.9</v>
      </c>
      <c r="Q19" s="42">
        <v>7055.54</v>
      </c>
      <c r="R19" s="42">
        <v>47041.36</v>
      </c>
      <c r="S19" s="42">
        <v>47041.36</v>
      </c>
      <c r="T19" s="44"/>
    </row>
    <row r="20" spans="1:20" x14ac:dyDescent="0.25">
      <c r="A20" s="110" t="s">
        <v>66</v>
      </c>
      <c r="B20" s="110"/>
      <c r="C20" s="43">
        <v>105.59</v>
      </c>
      <c r="D20" s="44"/>
      <c r="E20" s="43">
        <v>105.59</v>
      </c>
      <c r="F20" s="44"/>
      <c r="G20" s="44"/>
      <c r="H20" s="44"/>
      <c r="M20" s="110" t="s">
        <v>83</v>
      </c>
      <c r="N20" s="110"/>
      <c r="O20" s="44"/>
      <c r="P20" s="44"/>
      <c r="Q20" s="43">
        <v>10.19</v>
      </c>
      <c r="R20" s="44"/>
      <c r="S20" s="43">
        <v>-10.19</v>
      </c>
      <c r="T20" s="44"/>
    </row>
    <row r="21" spans="1:20" ht="33.75" x14ac:dyDescent="0.25">
      <c r="A21" s="110" t="s">
        <v>67</v>
      </c>
      <c r="B21" s="110"/>
      <c r="C21" s="43">
        <v>110.02</v>
      </c>
      <c r="D21" s="44"/>
      <c r="E21" s="43">
        <v>110.02</v>
      </c>
      <c r="F21" s="44"/>
      <c r="G21" s="44"/>
      <c r="H21" s="44"/>
      <c r="M21" s="38" t="s">
        <v>61</v>
      </c>
      <c r="N21" s="38" t="s">
        <v>99</v>
      </c>
      <c r="O21" s="39">
        <v>80149.14</v>
      </c>
      <c r="P21" s="39">
        <v>509337.28</v>
      </c>
      <c r="Q21" s="39">
        <v>481689.35</v>
      </c>
      <c r="R21" s="39">
        <v>107855.47</v>
      </c>
      <c r="S21" s="39">
        <v>107797.07</v>
      </c>
      <c r="T21" s="39">
        <v>55644.85</v>
      </c>
    </row>
    <row r="22" spans="1:20" x14ac:dyDescent="0.25">
      <c r="A22" s="110" t="s">
        <v>68</v>
      </c>
      <c r="B22" s="110"/>
      <c r="C22" s="43">
        <v>120.07</v>
      </c>
      <c r="D22" s="44"/>
      <c r="E22" s="43">
        <v>120.07</v>
      </c>
      <c r="F22" s="44"/>
      <c r="G22" s="44"/>
      <c r="H22" s="44"/>
      <c r="M22" s="40"/>
      <c r="N22" s="41"/>
      <c r="O22" s="42">
        <v>80149.14</v>
      </c>
      <c r="P22" s="42">
        <v>509337.28</v>
      </c>
      <c r="Q22" s="42">
        <v>481689.35</v>
      </c>
      <c r="R22" s="42">
        <v>107855.47</v>
      </c>
      <c r="S22" s="42">
        <v>107797.07</v>
      </c>
      <c r="T22" s="42">
        <v>55644.85</v>
      </c>
    </row>
    <row r="23" spans="1:20" x14ac:dyDescent="0.25">
      <c r="A23" s="110" t="s">
        <v>69</v>
      </c>
      <c r="B23" s="110"/>
      <c r="C23" s="43">
        <v>126.83</v>
      </c>
      <c r="D23" s="44"/>
      <c r="E23" s="43">
        <v>126.83</v>
      </c>
      <c r="F23" s="44"/>
      <c r="G23" s="44"/>
      <c r="H23" s="44"/>
      <c r="M23" s="110" t="s">
        <v>70</v>
      </c>
      <c r="N23" s="110"/>
      <c r="O23" s="43">
        <v>604.74</v>
      </c>
      <c r="P23" s="44"/>
      <c r="Q23" s="43">
        <v>604.74</v>
      </c>
      <c r="R23" s="44"/>
      <c r="S23" s="44"/>
      <c r="T23" s="44"/>
    </row>
    <row r="24" spans="1:20" x14ac:dyDescent="0.25">
      <c r="A24" s="110" t="s">
        <v>70</v>
      </c>
      <c r="B24" s="110"/>
      <c r="C24" s="43">
        <v>110.65</v>
      </c>
      <c r="D24" s="44"/>
      <c r="E24" s="43">
        <v>110.65</v>
      </c>
      <c r="F24" s="44"/>
      <c r="G24" s="44"/>
      <c r="H24" s="44"/>
      <c r="M24" s="110" t="s">
        <v>71</v>
      </c>
      <c r="N24" s="110"/>
      <c r="O24" s="42">
        <v>1777.73</v>
      </c>
      <c r="P24" s="44"/>
      <c r="Q24" s="42">
        <v>1777.73</v>
      </c>
      <c r="R24" s="44"/>
      <c r="S24" s="44"/>
      <c r="T24" s="44"/>
    </row>
    <row r="25" spans="1:20" x14ac:dyDescent="0.25">
      <c r="A25" s="110" t="s">
        <v>71</v>
      </c>
      <c r="B25" s="110"/>
      <c r="C25" s="43">
        <v>803.36</v>
      </c>
      <c r="D25" s="44"/>
      <c r="E25" s="43">
        <v>803.36</v>
      </c>
      <c r="F25" s="44"/>
      <c r="G25" s="44"/>
      <c r="H25" s="44"/>
      <c r="M25" s="110" t="s">
        <v>72</v>
      </c>
      <c r="N25" s="110"/>
      <c r="O25" s="42">
        <v>7032.31</v>
      </c>
      <c r="P25" s="44"/>
      <c r="Q25" s="42">
        <v>7032.31</v>
      </c>
      <c r="R25" s="44"/>
      <c r="S25" s="44"/>
      <c r="T25" s="44"/>
    </row>
    <row r="26" spans="1:20" x14ac:dyDescent="0.25">
      <c r="A26" s="110" t="s">
        <v>72</v>
      </c>
      <c r="B26" s="110"/>
      <c r="C26" s="42">
        <v>2452.9699999999998</v>
      </c>
      <c r="D26" s="44"/>
      <c r="E26" s="42">
        <v>2452.9699999999998</v>
      </c>
      <c r="F26" s="44"/>
      <c r="G26" s="44"/>
      <c r="H26" s="44"/>
      <c r="M26" s="110" t="s">
        <v>73</v>
      </c>
      <c r="N26" s="110"/>
      <c r="O26" s="42">
        <v>12318.81</v>
      </c>
      <c r="P26" s="44"/>
      <c r="Q26" s="42">
        <v>12318.81</v>
      </c>
      <c r="R26" s="44"/>
      <c r="S26" s="44"/>
      <c r="T26" s="44"/>
    </row>
    <row r="27" spans="1:20" x14ac:dyDescent="0.25">
      <c r="A27" s="110" t="s">
        <v>73</v>
      </c>
      <c r="B27" s="110"/>
      <c r="C27" s="42">
        <v>11741.47</v>
      </c>
      <c r="D27" s="44"/>
      <c r="E27" s="42">
        <v>11741.47</v>
      </c>
      <c r="F27" s="44"/>
      <c r="G27" s="44"/>
      <c r="H27" s="44"/>
      <c r="M27" s="110" t="s">
        <v>74</v>
      </c>
      <c r="N27" s="110"/>
      <c r="O27" s="42">
        <v>58415.55</v>
      </c>
      <c r="P27" s="44"/>
      <c r="Q27" s="46">
        <v>56754.400000000001</v>
      </c>
      <c r="R27" s="42">
        <v>1661.15</v>
      </c>
      <c r="S27" s="42">
        <v>1661.15</v>
      </c>
      <c r="T27" s="42">
        <v>1661.15</v>
      </c>
    </row>
    <row r="28" spans="1:20" x14ac:dyDescent="0.25">
      <c r="A28" s="110" t="s">
        <v>74</v>
      </c>
      <c r="B28" s="110"/>
      <c r="C28" s="42">
        <v>174088.28</v>
      </c>
      <c r="D28" s="44"/>
      <c r="E28" s="42">
        <v>174088.28</v>
      </c>
      <c r="F28" s="44"/>
      <c r="G28" s="44"/>
      <c r="H28" s="44"/>
      <c r="M28" s="110" t="s">
        <v>75</v>
      </c>
      <c r="N28" s="110"/>
      <c r="O28" s="44"/>
      <c r="P28" s="42">
        <v>63667.16</v>
      </c>
      <c r="Q28" s="42">
        <v>59677.66</v>
      </c>
      <c r="R28" s="46">
        <v>3989.5</v>
      </c>
      <c r="S28" s="46">
        <v>3989.5</v>
      </c>
      <c r="T28" s="46">
        <v>3989.5</v>
      </c>
    </row>
    <row r="29" spans="1:20" x14ac:dyDescent="0.25">
      <c r="A29" s="110" t="s">
        <v>75</v>
      </c>
      <c r="B29" s="110"/>
      <c r="C29" s="44"/>
      <c r="D29" s="42">
        <v>245891.74</v>
      </c>
      <c r="E29" s="42">
        <v>245891.74</v>
      </c>
      <c r="F29" s="44"/>
      <c r="G29" s="44"/>
      <c r="H29" s="44"/>
      <c r="M29" s="110" t="s">
        <v>76</v>
      </c>
      <c r="N29" s="110"/>
      <c r="O29" s="44"/>
      <c r="P29" s="42">
        <v>63667.16</v>
      </c>
      <c r="Q29" s="42">
        <v>59261.35</v>
      </c>
      <c r="R29" s="42">
        <v>4405.8100000000004</v>
      </c>
      <c r="S29" s="42">
        <v>4405.8100000000004</v>
      </c>
      <c r="T29" s="42">
        <v>4405.8100000000004</v>
      </c>
    </row>
    <row r="30" spans="1:20" x14ac:dyDescent="0.25">
      <c r="A30" s="110" t="s">
        <v>76</v>
      </c>
      <c r="B30" s="110"/>
      <c r="C30" s="44"/>
      <c r="D30" s="42">
        <v>242010.31</v>
      </c>
      <c r="E30" s="42">
        <v>242010.31</v>
      </c>
      <c r="F30" s="44"/>
      <c r="G30" s="44"/>
      <c r="H30" s="44"/>
      <c r="M30" s="110" t="s">
        <v>77</v>
      </c>
      <c r="N30" s="110"/>
      <c r="O30" s="44"/>
      <c r="P30" s="42">
        <v>63667.16</v>
      </c>
      <c r="Q30" s="42">
        <v>58212.72</v>
      </c>
      <c r="R30" s="42">
        <v>5454.44</v>
      </c>
      <c r="S30" s="42">
        <v>5454.44</v>
      </c>
      <c r="T30" s="42">
        <v>5454.44</v>
      </c>
    </row>
    <row r="31" spans="1:20" x14ac:dyDescent="0.25">
      <c r="A31" s="110" t="s">
        <v>77</v>
      </c>
      <c r="B31" s="110"/>
      <c r="C31" s="44"/>
      <c r="D31" s="42">
        <v>210890.47</v>
      </c>
      <c r="E31" s="42">
        <v>210890.47</v>
      </c>
      <c r="F31" s="44"/>
      <c r="G31" s="44"/>
      <c r="H31" s="44"/>
      <c r="M31" s="110" t="s">
        <v>78</v>
      </c>
      <c r="N31" s="110"/>
      <c r="O31" s="44"/>
      <c r="P31" s="42">
        <v>63667.16</v>
      </c>
      <c r="Q31" s="42">
        <v>57417.97</v>
      </c>
      <c r="R31" s="42">
        <v>6249.19</v>
      </c>
      <c r="S31" s="42">
        <v>6249.19</v>
      </c>
      <c r="T31" s="42">
        <v>6249.19</v>
      </c>
    </row>
    <row r="32" spans="1:20" x14ac:dyDescent="0.25">
      <c r="A32" s="110" t="s">
        <v>78</v>
      </c>
      <c r="B32" s="110"/>
      <c r="C32" s="44"/>
      <c r="D32" s="42">
        <v>219659.46</v>
      </c>
      <c r="E32" s="42">
        <v>217746.18</v>
      </c>
      <c r="F32" s="42">
        <v>1913.28</v>
      </c>
      <c r="G32" s="42">
        <v>1913.28</v>
      </c>
      <c r="H32" s="42">
        <v>1913.28</v>
      </c>
      <c r="M32" s="110" t="s">
        <v>79</v>
      </c>
      <c r="N32" s="110"/>
      <c r="O32" s="44"/>
      <c r="P32" s="42">
        <v>63667.16</v>
      </c>
      <c r="Q32" s="42">
        <v>54617.22</v>
      </c>
      <c r="R32" s="42">
        <v>9049.94</v>
      </c>
      <c r="S32" s="42">
        <v>9049.94</v>
      </c>
      <c r="T32" s="42">
        <v>9049.94</v>
      </c>
    </row>
    <row r="33" spans="1:20" x14ac:dyDescent="0.25">
      <c r="A33" s="110" t="s">
        <v>79</v>
      </c>
      <c r="B33" s="110"/>
      <c r="C33" s="44"/>
      <c r="D33" s="42">
        <v>153634.51</v>
      </c>
      <c r="E33" s="42">
        <v>150483.29</v>
      </c>
      <c r="F33" s="42">
        <v>3533.56</v>
      </c>
      <c r="G33" s="42">
        <v>3151.22</v>
      </c>
      <c r="H33" s="42">
        <v>3151.22</v>
      </c>
      <c r="M33" s="110" t="s">
        <v>80</v>
      </c>
      <c r="N33" s="110"/>
      <c r="O33" s="44"/>
      <c r="P33" s="42">
        <v>63667.16</v>
      </c>
      <c r="Q33" s="42">
        <v>53286.48</v>
      </c>
      <c r="R33" s="42">
        <v>10380.68</v>
      </c>
      <c r="S33" s="42">
        <v>10380.68</v>
      </c>
      <c r="T33" s="42">
        <v>10380.68</v>
      </c>
    </row>
    <row r="34" spans="1:20" x14ac:dyDescent="0.25">
      <c r="A34" s="110" t="s">
        <v>80</v>
      </c>
      <c r="B34" s="110"/>
      <c r="C34" s="44"/>
      <c r="D34" s="42">
        <v>116828.34</v>
      </c>
      <c r="E34" s="42">
        <v>113881.48</v>
      </c>
      <c r="F34" s="42">
        <v>3473.86</v>
      </c>
      <c r="G34" s="42">
        <v>2946.86</v>
      </c>
      <c r="H34" s="42">
        <v>2946.86</v>
      </c>
      <c r="M34" s="110" t="s">
        <v>81</v>
      </c>
      <c r="N34" s="110"/>
      <c r="O34" s="44"/>
      <c r="P34" s="42">
        <v>63667.16</v>
      </c>
      <c r="Q34" s="42">
        <v>49213.02</v>
      </c>
      <c r="R34" s="42">
        <v>14454.14</v>
      </c>
      <c r="S34" s="42">
        <v>14454.14</v>
      </c>
      <c r="T34" s="42">
        <v>14454.14</v>
      </c>
    </row>
    <row r="35" spans="1:20" x14ac:dyDescent="0.25">
      <c r="A35" s="110" t="s">
        <v>81</v>
      </c>
      <c r="B35" s="110"/>
      <c r="C35" s="44"/>
      <c r="D35" s="42">
        <v>126541.33</v>
      </c>
      <c r="E35" s="42">
        <v>110351.63</v>
      </c>
      <c r="F35" s="42">
        <v>16242.75</v>
      </c>
      <c r="G35" s="46">
        <v>16189.7</v>
      </c>
      <c r="H35" s="46">
        <v>16189.7</v>
      </c>
      <c r="M35" s="110" t="s">
        <v>82</v>
      </c>
      <c r="N35" s="110"/>
      <c r="O35" s="44"/>
      <c r="P35" s="42">
        <v>63667.16</v>
      </c>
      <c r="Q35" s="42">
        <v>11456.54</v>
      </c>
      <c r="R35" s="42">
        <v>52210.62</v>
      </c>
      <c r="S35" s="42">
        <v>52210.62</v>
      </c>
      <c r="T35" s="44"/>
    </row>
    <row r="36" spans="1:20" x14ac:dyDescent="0.25">
      <c r="A36" s="110" t="s">
        <v>82</v>
      </c>
      <c r="B36" s="110"/>
      <c r="C36" s="44"/>
      <c r="D36" s="42">
        <v>135048.01999999999</v>
      </c>
      <c r="E36" s="46">
        <v>15672.4</v>
      </c>
      <c r="F36" s="42">
        <v>119375.62</v>
      </c>
      <c r="G36" s="42">
        <v>119375.62</v>
      </c>
      <c r="H36" s="44"/>
      <c r="M36" s="110" t="s">
        <v>83</v>
      </c>
      <c r="N36" s="110"/>
      <c r="O36" s="44"/>
      <c r="P36" s="44"/>
      <c r="Q36" s="45">
        <v>58.4</v>
      </c>
      <c r="R36" s="44"/>
      <c r="S36" s="45">
        <v>-58.4</v>
      </c>
      <c r="T36" s="44"/>
    </row>
    <row r="37" spans="1:20" x14ac:dyDescent="0.25">
      <c r="A37" s="110" t="s">
        <v>83</v>
      </c>
      <c r="B37" s="110"/>
      <c r="C37" s="44"/>
      <c r="D37" s="44"/>
      <c r="E37" s="43">
        <v>42.15</v>
      </c>
      <c r="F37" s="44"/>
      <c r="G37" s="43">
        <v>-42.15</v>
      </c>
      <c r="H37" s="44"/>
      <c r="M37" s="111" t="s">
        <v>86</v>
      </c>
      <c r="N37" s="111"/>
      <c r="O37" s="49">
        <v>129211.7</v>
      </c>
      <c r="P37" s="47">
        <v>942112.48</v>
      </c>
      <c r="Q37" s="47">
        <v>905894.67</v>
      </c>
      <c r="R37" s="49">
        <v>165498.1</v>
      </c>
      <c r="S37" s="47">
        <v>165429.51</v>
      </c>
      <c r="T37" s="47">
        <v>66246.12</v>
      </c>
    </row>
    <row r="38" spans="1:20" ht="33.75" x14ac:dyDescent="0.25">
      <c r="A38" s="38" t="s">
        <v>61</v>
      </c>
      <c r="B38" s="38" t="s">
        <v>99</v>
      </c>
      <c r="C38" s="39">
        <v>292567.67</v>
      </c>
      <c r="D38" s="39">
        <v>1552466.13</v>
      </c>
      <c r="E38" s="39">
        <v>1527470.21</v>
      </c>
      <c r="F38" s="39">
        <v>322576.46999999997</v>
      </c>
      <c r="G38" s="39">
        <v>317563.59000000003</v>
      </c>
      <c r="H38" s="39">
        <v>157519.98000000001</v>
      </c>
    </row>
    <row r="39" spans="1:20" x14ac:dyDescent="0.25">
      <c r="A39" s="40"/>
      <c r="B39" s="41"/>
      <c r="C39" s="42">
        <v>292567.67</v>
      </c>
      <c r="D39" s="42">
        <v>1552466.13</v>
      </c>
      <c r="E39" s="42">
        <v>1527470.21</v>
      </c>
      <c r="F39" s="42">
        <v>322576.46999999997</v>
      </c>
      <c r="G39" s="42">
        <v>317563.59000000003</v>
      </c>
      <c r="H39" s="42">
        <v>157519.98000000001</v>
      </c>
    </row>
    <row r="40" spans="1:20" x14ac:dyDescent="0.25">
      <c r="A40" s="110" t="s">
        <v>90</v>
      </c>
      <c r="B40" s="110"/>
      <c r="C40" s="43">
        <v>35.78</v>
      </c>
      <c r="D40" s="44"/>
      <c r="E40" s="43">
        <v>35.78</v>
      </c>
      <c r="F40" s="44"/>
      <c r="G40" s="44"/>
      <c r="H40" s="44"/>
    </row>
    <row r="41" spans="1:20" x14ac:dyDescent="0.25">
      <c r="A41" s="110" t="s">
        <v>91</v>
      </c>
      <c r="B41" s="110"/>
      <c r="C41" s="43">
        <v>53.22</v>
      </c>
      <c r="D41" s="44"/>
      <c r="E41" s="43">
        <v>53.22</v>
      </c>
      <c r="F41" s="44"/>
      <c r="G41" s="44"/>
      <c r="H41" s="44"/>
    </row>
    <row r="42" spans="1:20" x14ac:dyDescent="0.25">
      <c r="A42" s="110" t="s">
        <v>92</v>
      </c>
      <c r="B42" s="110"/>
      <c r="C42" s="43">
        <v>59.34</v>
      </c>
      <c r="D42" s="44"/>
      <c r="E42" s="43">
        <v>59.34</v>
      </c>
      <c r="F42" s="44"/>
      <c r="G42" s="44"/>
      <c r="H42" s="44"/>
    </row>
    <row r="43" spans="1:20" x14ac:dyDescent="0.25">
      <c r="A43" s="110" t="s">
        <v>93</v>
      </c>
      <c r="B43" s="110"/>
      <c r="C43" s="43">
        <v>70.72</v>
      </c>
      <c r="D43" s="44"/>
      <c r="E43" s="43">
        <v>70.72</v>
      </c>
      <c r="F43" s="44"/>
      <c r="G43" s="44"/>
      <c r="H43" s="44"/>
    </row>
    <row r="44" spans="1:20" x14ac:dyDescent="0.25">
      <c r="A44" s="110" t="s">
        <v>94</v>
      </c>
      <c r="B44" s="110"/>
      <c r="C44" s="43">
        <v>94.88</v>
      </c>
      <c r="D44" s="44"/>
      <c r="E44" s="43">
        <v>94.88</v>
      </c>
      <c r="F44" s="44"/>
      <c r="G44" s="44"/>
      <c r="H44" s="44"/>
    </row>
    <row r="45" spans="1:20" x14ac:dyDescent="0.25">
      <c r="A45" s="110" t="s">
        <v>95</v>
      </c>
      <c r="B45" s="110"/>
      <c r="C45" s="43">
        <v>107.07</v>
      </c>
      <c r="D45" s="44"/>
      <c r="E45" s="43">
        <v>107.07</v>
      </c>
      <c r="F45" s="44"/>
      <c r="G45" s="44"/>
      <c r="H45" s="44"/>
    </row>
    <row r="46" spans="1:20" x14ac:dyDescent="0.25">
      <c r="A46" s="110" t="s">
        <v>100</v>
      </c>
      <c r="B46" s="110"/>
      <c r="C46" s="43">
        <v>77.930000000000007</v>
      </c>
      <c r="D46" s="44"/>
      <c r="E46" s="43">
        <v>77.930000000000007</v>
      </c>
      <c r="F46" s="44"/>
      <c r="G46" s="44"/>
      <c r="H46" s="44"/>
    </row>
    <row r="47" spans="1:20" x14ac:dyDescent="0.25">
      <c r="A47" s="110" t="s">
        <v>101</v>
      </c>
      <c r="B47" s="110"/>
      <c r="C47" s="43">
        <v>79.11</v>
      </c>
      <c r="D47" s="44"/>
      <c r="E47" s="43">
        <v>79.11</v>
      </c>
      <c r="F47" s="44"/>
      <c r="G47" s="44"/>
      <c r="H47" s="44"/>
    </row>
    <row r="48" spans="1:20" x14ac:dyDescent="0.25">
      <c r="A48" s="110" t="s">
        <v>102</v>
      </c>
      <c r="B48" s="110"/>
      <c r="C48" s="43">
        <v>52.14</v>
      </c>
      <c r="D48" s="44"/>
      <c r="E48" s="43">
        <v>52.14</v>
      </c>
      <c r="F48" s="44"/>
      <c r="G48" s="44"/>
      <c r="H48" s="44"/>
    </row>
    <row r="49" spans="1:8" x14ac:dyDescent="0.25">
      <c r="A49" s="110" t="s">
        <v>96</v>
      </c>
      <c r="B49" s="110"/>
      <c r="C49" s="43">
        <v>68.83</v>
      </c>
      <c r="D49" s="44"/>
      <c r="E49" s="43">
        <v>68.83</v>
      </c>
      <c r="F49" s="44"/>
      <c r="G49" s="44"/>
      <c r="H49" s="44"/>
    </row>
    <row r="50" spans="1:8" x14ac:dyDescent="0.25">
      <c r="A50" s="110" t="s">
        <v>97</v>
      </c>
      <c r="B50" s="110"/>
      <c r="C50" s="43">
        <v>83.76</v>
      </c>
      <c r="D50" s="44"/>
      <c r="E50" s="43">
        <v>83.76</v>
      </c>
      <c r="F50" s="44"/>
      <c r="G50" s="44"/>
      <c r="H50" s="44"/>
    </row>
    <row r="51" spans="1:8" x14ac:dyDescent="0.25">
      <c r="A51" s="110" t="s">
        <v>98</v>
      </c>
      <c r="B51" s="110"/>
      <c r="C51" s="43">
        <v>51.53</v>
      </c>
      <c r="D51" s="44"/>
      <c r="E51" s="43">
        <v>51.53</v>
      </c>
      <c r="F51" s="44"/>
      <c r="G51" s="44"/>
      <c r="H51" s="44"/>
    </row>
    <row r="52" spans="1:8" x14ac:dyDescent="0.25">
      <c r="A52" s="110" t="s">
        <v>63</v>
      </c>
      <c r="B52" s="110"/>
      <c r="C52" s="43">
        <v>92.79</v>
      </c>
      <c r="D52" s="44"/>
      <c r="E52" s="43">
        <v>92.79</v>
      </c>
      <c r="F52" s="44"/>
      <c r="G52" s="44"/>
      <c r="H52" s="44"/>
    </row>
    <row r="53" spans="1:8" x14ac:dyDescent="0.25">
      <c r="A53" s="110" t="s">
        <v>64</v>
      </c>
      <c r="B53" s="110"/>
      <c r="C53" s="43">
        <v>121.86</v>
      </c>
      <c r="D53" s="44"/>
      <c r="E53" s="43">
        <v>121.86</v>
      </c>
      <c r="F53" s="44"/>
      <c r="G53" s="44"/>
      <c r="H53" s="44"/>
    </row>
    <row r="54" spans="1:8" x14ac:dyDescent="0.25">
      <c r="A54" s="110" t="s">
        <v>65</v>
      </c>
      <c r="B54" s="110"/>
      <c r="C54" s="43">
        <v>168.79</v>
      </c>
      <c r="D54" s="44"/>
      <c r="E54" s="43">
        <v>168.79</v>
      </c>
      <c r="F54" s="44"/>
      <c r="G54" s="44"/>
      <c r="H54" s="44"/>
    </row>
    <row r="55" spans="1:8" x14ac:dyDescent="0.25">
      <c r="A55" s="110" t="s">
        <v>66</v>
      </c>
      <c r="B55" s="110"/>
      <c r="C55" s="43">
        <v>121.08</v>
      </c>
      <c r="D55" s="44"/>
      <c r="E55" s="43">
        <v>121.08</v>
      </c>
      <c r="F55" s="44"/>
      <c r="G55" s="44"/>
      <c r="H55" s="44"/>
    </row>
    <row r="56" spans="1:8" x14ac:dyDescent="0.25">
      <c r="A56" s="110" t="s">
        <v>67</v>
      </c>
      <c r="B56" s="110"/>
      <c r="C56" s="43">
        <v>81.010000000000005</v>
      </c>
      <c r="D56" s="44"/>
      <c r="E56" s="43">
        <v>81.010000000000005</v>
      </c>
      <c r="F56" s="44"/>
      <c r="G56" s="44"/>
      <c r="H56" s="44"/>
    </row>
    <row r="57" spans="1:8" x14ac:dyDescent="0.25">
      <c r="A57" s="110" t="s">
        <v>68</v>
      </c>
      <c r="B57" s="110"/>
      <c r="C57" s="43">
        <v>175.36</v>
      </c>
      <c r="D57" s="44"/>
      <c r="E57" s="43">
        <v>175.36</v>
      </c>
      <c r="F57" s="44"/>
      <c r="G57" s="44"/>
      <c r="H57" s="44"/>
    </row>
    <row r="58" spans="1:8" x14ac:dyDescent="0.25">
      <c r="A58" s="110" t="s">
        <v>69</v>
      </c>
      <c r="B58" s="110"/>
      <c r="C58" s="43">
        <v>199.17</v>
      </c>
      <c r="D58" s="44"/>
      <c r="E58" s="43">
        <v>199.17</v>
      </c>
      <c r="F58" s="44"/>
      <c r="G58" s="44"/>
      <c r="H58" s="44"/>
    </row>
    <row r="59" spans="1:8" x14ac:dyDescent="0.25">
      <c r="A59" s="110" t="s">
        <v>70</v>
      </c>
      <c r="B59" s="110"/>
      <c r="C59" s="42">
        <v>1624.97</v>
      </c>
      <c r="D59" s="44"/>
      <c r="E59" s="42">
        <v>1624.97</v>
      </c>
      <c r="F59" s="44"/>
      <c r="G59" s="44"/>
      <c r="H59" s="44"/>
    </row>
    <row r="60" spans="1:8" x14ac:dyDescent="0.25">
      <c r="A60" s="110" t="s">
        <v>71</v>
      </c>
      <c r="B60" s="110"/>
      <c r="C60" s="46">
        <v>4553.5</v>
      </c>
      <c r="D60" s="44"/>
      <c r="E60" s="46">
        <v>4553.5</v>
      </c>
      <c r="F60" s="44"/>
      <c r="G60" s="44"/>
      <c r="H60" s="44"/>
    </row>
    <row r="61" spans="1:8" x14ac:dyDescent="0.25">
      <c r="A61" s="110" t="s">
        <v>72</v>
      </c>
      <c r="B61" s="110"/>
      <c r="C61" s="42">
        <v>26370.92</v>
      </c>
      <c r="D61" s="44"/>
      <c r="E61" s="42">
        <v>26288.49</v>
      </c>
      <c r="F61" s="43">
        <v>82.43</v>
      </c>
      <c r="G61" s="43">
        <v>82.43</v>
      </c>
      <c r="H61" s="43">
        <v>82.43</v>
      </c>
    </row>
    <row r="62" spans="1:8" x14ac:dyDescent="0.25">
      <c r="A62" s="110" t="s">
        <v>73</v>
      </c>
      <c r="B62" s="110"/>
      <c r="C62" s="42">
        <v>46172.31</v>
      </c>
      <c r="D62" s="44"/>
      <c r="E62" s="42">
        <v>46172.31</v>
      </c>
      <c r="F62" s="44"/>
      <c r="G62" s="44"/>
      <c r="H62" s="44"/>
    </row>
    <row r="63" spans="1:8" x14ac:dyDescent="0.25">
      <c r="A63" s="110" t="s">
        <v>74</v>
      </c>
      <c r="B63" s="110"/>
      <c r="C63" s="46">
        <v>212051.6</v>
      </c>
      <c r="D63" s="44"/>
      <c r="E63" s="42">
        <v>204258.77</v>
      </c>
      <c r="F63" s="42">
        <v>7792.83</v>
      </c>
      <c r="G63" s="42">
        <v>7792.83</v>
      </c>
      <c r="H63" s="42">
        <v>7792.83</v>
      </c>
    </row>
    <row r="64" spans="1:8" x14ac:dyDescent="0.25">
      <c r="A64" s="110" t="s">
        <v>75</v>
      </c>
      <c r="B64" s="110"/>
      <c r="C64" s="44"/>
      <c r="D64" s="42">
        <v>249360.51</v>
      </c>
      <c r="E64" s="42">
        <v>238292.54</v>
      </c>
      <c r="F64" s="42">
        <v>11067.97</v>
      </c>
      <c r="G64" s="42">
        <v>11067.97</v>
      </c>
      <c r="H64" s="42">
        <v>11067.97</v>
      </c>
    </row>
    <row r="65" spans="1:8" x14ac:dyDescent="0.25">
      <c r="A65" s="110" t="s">
        <v>76</v>
      </c>
      <c r="B65" s="110"/>
      <c r="C65" s="44"/>
      <c r="D65" s="42">
        <v>250838.56</v>
      </c>
      <c r="E65" s="42">
        <v>236824.93</v>
      </c>
      <c r="F65" s="42">
        <v>14013.63</v>
      </c>
      <c r="G65" s="42">
        <v>14013.63</v>
      </c>
      <c r="H65" s="42">
        <v>14013.63</v>
      </c>
    </row>
    <row r="66" spans="1:8" x14ac:dyDescent="0.25">
      <c r="A66" s="110" t="s">
        <v>77</v>
      </c>
      <c r="B66" s="110"/>
      <c r="C66" s="44"/>
      <c r="D66" s="42">
        <v>219646.74</v>
      </c>
      <c r="E66" s="46">
        <v>202542.7</v>
      </c>
      <c r="F66" s="42">
        <v>17104.04</v>
      </c>
      <c r="G66" s="42">
        <v>17104.04</v>
      </c>
      <c r="H66" s="42">
        <v>17104.04</v>
      </c>
    </row>
    <row r="67" spans="1:8" x14ac:dyDescent="0.25">
      <c r="A67" s="110" t="s">
        <v>78</v>
      </c>
      <c r="B67" s="110"/>
      <c r="C67" s="44"/>
      <c r="D67" s="42">
        <v>217641.46</v>
      </c>
      <c r="E67" s="42">
        <v>196787.15</v>
      </c>
      <c r="F67" s="42">
        <v>20854.310000000001</v>
      </c>
      <c r="G67" s="42">
        <v>20854.310000000001</v>
      </c>
      <c r="H67" s="42">
        <v>20854.310000000001</v>
      </c>
    </row>
    <row r="68" spans="1:8" x14ac:dyDescent="0.25">
      <c r="A68" s="110" t="s">
        <v>79</v>
      </c>
      <c r="B68" s="110"/>
      <c r="C68" s="44"/>
      <c r="D68" s="42">
        <v>159435.84</v>
      </c>
      <c r="E68" s="42">
        <v>140365.85</v>
      </c>
      <c r="F68" s="42">
        <v>20510.23</v>
      </c>
      <c r="G68" s="42">
        <v>19069.990000000002</v>
      </c>
      <c r="H68" s="42">
        <v>19069.990000000002</v>
      </c>
    </row>
    <row r="69" spans="1:8" x14ac:dyDescent="0.25">
      <c r="A69" s="110" t="s">
        <v>80</v>
      </c>
      <c r="B69" s="110"/>
      <c r="C69" s="44"/>
      <c r="D69" s="42">
        <v>132970.37</v>
      </c>
      <c r="E69" s="42">
        <v>109743.51</v>
      </c>
      <c r="F69" s="42">
        <v>23237.91</v>
      </c>
      <c r="G69" s="42">
        <v>23226.86</v>
      </c>
      <c r="H69" s="42">
        <v>23226.86</v>
      </c>
    </row>
    <row r="70" spans="1:8" x14ac:dyDescent="0.25">
      <c r="A70" s="110" t="s">
        <v>81</v>
      </c>
      <c r="B70" s="110"/>
      <c r="C70" s="44"/>
      <c r="D70" s="42">
        <v>138365.87</v>
      </c>
      <c r="E70" s="42">
        <v>94057.95</v>
      </c>
      <c r="F70" s="42">
        <v>44307.92</v>
      </c>
      <c r="G70" s="42">
        <v>44307.92</v>
      </c>
      <c r="H70" s="42">
        <v>44307.92</v>
      </c>
    </row>
    <row r="71" spans="1:8" x14ac:dyDescent="0.25">
      <c r="A71" s="110" t="s">
        <v>82</v>
      </c>
      <c r="B71" s="110"/>
      <c r="C71" s="44"/>
      <c r="D71" s="42">
        <v>184206.78</v>
      </c>
      <c r="E71" s="42">
        <v>24046.66</v>
      </c>
      <c r="F71" s="46">
        <v>163605.20000000001</v>
      </c>
      <c r="G71" s="42">
        <v>160160.12</v>
      </c>
      <c r="H71" s="44"/>
    </row>
    <row r="72" spans="1:8" x14ac:dyDescent="0.25">
      <c r="A72" s="110" t="s">
        <v>83</v>
      </c>
      <c r="B72" s="110"/>
      <c r="C72" s="44"/>
      <c r="D72" s="44"/>
      <c r="E72" s="43">
        <v>116.51</v>
      </c>
      <c r="F72" s="44"/>
      <c r="G72" s="43">
        <v>-116.51</v>
      </c>
      <c r="H72" s="44"/>
    </row>
    <row r="73" spans="1:8" x14ac:dyDescent="0.25">
      <c r="A73" s="111" t="s">
        <v>86</v>
      </c>
      <c r="B73" s="111"/>
      <c r="C73" s="47">
        <v>482800.84</v>
      </c>
      <c r="D73" s="47">
        <v>3002970.31</v>
      </c>
      <c r="E73" s="47">
        <v>3024673.03</v>
      </c>
      <c r="F73" s="47">
        <v>467115.54</v>
      </c>
      <c r="G73" s="47">
        <v>461098.12</v>
      </c>
      <c r="H73" s="47">
        <v>181721.04</v>
      </c>
    </row>
  </sheetData>
  <mergeCells count="105">
    <mergeCell ref="A8:B8"/>
    <mergeCell ref="A9:B9"/>
    <mergeCell ref="A10:B10"/>
    <mergeCell ref="A11:B11"/>
    <mergeCell ref="A12:B12"/>
    <mergeCell ref="A13:B13"/>
    <mergeCell ref="A2:H2"/>
    <mergeCell ref="C4:C5"/>
    <mergeCell ref="D4:D5"/>
    <mergeCell ref="E4:E5"/>
    <mergeCell ref="F4:G4"/>
    <mergeCell ref="H4:H5"/>
    <mergeCell ref="A5:B5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73:B73"/>
    <mergeCell ref="O4:O5"/>
    <mergeCell ref="P4:P5"/>
    <mergeCell ref="M10:N10"/>
    <mergeCell ref="M11:N11"/>
    <mergeCell ref="M12:N12"/>
    <mergeCell ref="M13:N13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Q4:Q5"/>
    <mergeCell ref="R4:S4"/>
    <mergeCell ref="T4:T5"/>
    <mergeCell ref="M5:N5"/>
    <mergeCell ref="M8:N8"/>
    <mergeCell ref="M9:N9"/>
    <mergeCell ref="A70:B70"/>
    <mergeCell ref="A71:B71"/>
    <mergeCell ref="A72:B72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2:B32"/>
    <mergeCell ref="A33:B33"/>
    <mergeCell ref="M20:N20"/>
    <mergeCell ref="M23:N23"/>
    <mergeCell ref="M24:N24"/>
    <mergeCell ref="M25:N25"/>
    <mergeCell ref="M26:N26"/>
    <mergeCell ref="M27:N27"/>
    <mergeCell ref="M14:N14"/>
    <mergeCell ref="M15:N15"/>
    <mergeCell ref="M16:N16"/>
    <mergeCell ref="M17:N17"/>
    <mergeCell ref="M18:N18"/>
    <mergeCell ref="M19:N19"/>
    <mergeCell ref="M34:N34"/>
    <mergeCell ref="M35:N35"/>
    <mergeCell ref="M36:N36"/>
    <mergeCell ref="M37:N37"/>
    <mergeCell ref="M28:N28"/>
    <mergeCell ref="M29:N29"/>
    <mergeCell ref="M30:N30"/>
    <mergeCell ref="M31:N31"/>
    <mergeCell ref="M32:N32"/>
    <mergeCell ref="M33:N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DA38"/>
  <sheetViews>
    <sheetView tabSelected="1" zoomScale="90" zoomScaleNormal="90" workbookViewId="0">
      <pane xSplit="2" ySplit="5" topLeftCell="CS19" activePane="bottomRight" state="frozen"/>
      <selection activeCell="AW44" sqref="AW44"/>
      <selection pane="topRight" activeCell="AW44" sqref="AW44"/>
      <selection pane="bottomLeft" activeCell="AW44" sqref="AW44"/>
      <selection pane="bottomRight" sqref="A1:DA35"/>
    </sheetView>
  </sheetViews>
  <sheetFormatPr defaultRowHeight="15" x14ac:dyDescent="0.25"/>
  <cols>
    <col min="2" max="2" width="68" customWidth="1"/>
    <col min="3" max="3" width="11.140625" customWidth="1"/>
    <col min="4" max="4" width="11.28515625" customWidth="1"/>
    <col min="5" max="5" width="10.7109375" customWidth="1"/>
    <col min="6" max="6" width="9.140625" customWidth="1"/>
    <col min="7" max="7" width="11.140625" customWidth="1"/>
    <col min="8" max="8" width="11.28515625" customWidth="1"/>
    <col min="9" max="9" width="10.5703125" customWidth="1"/>
    <col min="10" max="12" width="11" customWidth="1"/>
    <col min="13" max="13" width="11.140625" customWidth="1"/>
    <col min="14" max="14" width="11" customWidth="1"/>
    <col min="15" max="15" width="10.5703125" customWidth="1"/>
    <col min="16" max="16" width="11.140625" customWidth="1"/>
    <col min="17" max="21" width="9.140625" customWidth="1"/>
    <col min="22" max="22" width="10.5703125" customWidth="1"/>
    <col min="23" max="23" width="11.42578125" customWidth="1"/>
    <col min="24" max="24" width="11.85546875" customWidth="1"/>
    <col min="25" max="25" width="11" customWidth="1"/>
    <col min="26" max="26" width="10.7109375" customWidth="1"/>
    <col min="27" max="27" width="9.140625" customWidth="1"/>
    <col min="28" max="28" width="11" customWidth="1"/>
    <col min="29" max="30" width="10.7109375" customWidth="1"/>
    <col min="31" max="31" width="10.85546875" customWidth="1"/>
    <col min="32" max="32" width="11" customWidth="1"/>
    <col min="33" max="33" width="10.7109375" customWidth="1"/>
    <col min="34" max="34" width="12" customWidth="1"/>
    <col min="35" max="35" width="12.140625" customWidth="1"/>
    <col min="36" max="36" width="10.28515625" customWidth="1"/>
    <col min="37" max="37" width="11.42578125" customWidth="1"/>
    <col min="38" max="38" width="10.28515625" customWidth="1"/>
    <col min="39" max="40" width="10.5703125" customWidth="1"/>
    <col min="41" max="41" width="11.7109375" customWidth="1"/>
    <col min="42" max="42" width="10.140625" customWidth="1"/>
    <col min="43" max="45" width="9.140625" customWidth="1"/>
    <col min="47" max="47" width="10.85546875" customWidth="1"/>
    <col min="49" max="49" width="10.5703125" customWidth="1"/>
    <col min="50" max="50" width="11" customWidth="1"/>
    <col min="51" max="60" width="9.140625" customWidth="1"/>
    <col min="61" max="61" width="11" customWidth="1"/>
    <col min="62" max="62" width="11.42578125" customWidth="1"/>
    <col min="63" max="63" width="11" customWidth="1"/>
    <col min="64" max="66" width="9.140625" customWidth="1"/>
    <col min="67" max="68" width="11" customWidth="1"/>
    <col min="69" max="69" width="12.42578125" customWidth="1"/>
    <col min="70" max="70" width="11.7109375" customWidth="1"/>
    <col min="71" max="71" width="11" customWidth="1"/>
    <col min="72" max="72" width="12" customWidth="1"/>
    <col min="73" max="73" width="11.85546875" customWidth="1"/>
    <col min="74" max="74" width="12.85546875" customWidth="1"/>
    <col min="75" max="75" width="12" customWidth="1"/>
    <col min="76" max="76" width="11.7109375" customWidth="1"/>
    <col min="77" max="77" width="10.85546875" customWidth="1"/>
    <col min="78" max="78" width="11.5703125" customWidth="1"/>
    <col min="79" max="79" width="10.28515625" customWidth="1"/>
    <col min="80" max="80" width="10.85546875" customWidth="1"/>
    <col min="81" max="82" width="9.140625" customWidth="1"/>
    <col min="83" max="83" width="11.85546875" customWidth="1"/>
    <col min="84" max="86" width="9.140625" customWidth="1"/>
    <col min="87" max="87" width="11.5703125" customWidth="1"/>
    <col min="88" max="90" width="9.140625" customWidth="1"/>
    <col min="91" max="91" width="11.5703125" customWidth="1"/>
    <col min="92" max="92" width="9.140625" customWidth="1"/>
    <col min="93" max="94" width="11.7109375" customWidth="1"/>
    <col min="95" max="95" width="11.5703125" customWidth="1"/>
    <col min="96" max="96" width="11.42578125" customWidth="1"/>
    <col min="97" max="97" width="11.5703125" customWidth="1"/>
    <col min="98" max="98" width="10.5703125" customWidth="1"/>
    <col min="99" max="99" width="12.140625" customWidth="1"/>
    <col min="100" max="100" width="10.85546875" customWidth="1"/>
    <col min="101" max="101" width="10.7109375" customWidth="1"/>
    <col min="102" max="102" width="13" customWidth="1"/>
    <col min="103" max="103" width="10.42578125" customWidth="1"/>
    <col min="104" max="104" width="13.140625" customWidth="1"/>
    <col min="105" max="105" width="11.7109375" customWidth="1"/>
  </cols>
  <sheetData>
    <row r="1" spans="1:105" ht="51.75" customHeight="1" x14ac:dyDescent="0.25">
      <c r="A1" s="114" t="s">
        <v>41</v>
      </c>
      <c r="B1" s="114"/>
      <c r="C1" s="114"/>
      <c r="BI1" s="106">
        <f>BI8+BI9+BI10+BI11+BI15+BI16+BI12</f>
        <v>1.4284200000000002</v>
      </c>
      <c r="BJ1" s="106">
        <f>BJ8+BJ9+BJ10+BJ11+BJ15+BJ16</f>
        <v>1.3651500000000001</v>
      </c>
    </row>
    <row r="2" spans="1:105" ht="17.25" customHeight="1" x14ac:dyDescent="0.25">
      <c r="A2" s="115" t="s">
        <v>0</v>
      </c>
      <c r="B2" s="94" t="s">
        <v>205</v>
      </c>
      <c r="C2" s="103"/>
      <c r="D2" s="67">
        <v>42309</v>
      </c>
      <c r="E2" s="63"/>
      <c r="F2" s="63"/>
      <c r="G2" s="96">
        <v>42736</v>
      </c>
      <c r="H2" s="96">
        <v>42736</v>
      </c>
      <c r="I2" s="96">
        <v>42736</v>
      </c>
      <c r="J2" s="96">
        <v>42736</v>
      </c>
      <c r="K2" s="96">
        <v>42736</v>
      </c>
      <c r="L2" s="96">
        <v>42736</v>
      </c>
      <c r="M2" s="96">
        <v>42736</v>
      </c>
      <c r="N2" s="96">
        <v>42736</v>
      </c>
      <c r="O2" s="74">
        <v>42370</v>
      </c>
      <c r="P2" s="74">
        <v>42370</v>
      </c>
      <c r="Q2" s="63"/>
      <c r="R2" s="63"/>
      <c r="S2" s="63"/>
      <c r="T2" s="63"/>
      <c r="U2" s="63"/>
      <c r="V2" s="67">
        <v>42522</v>
      </c>
      <c r="W2" s="67">
        <v>42522</v>
      </c>
      <c r="X2" s="96">
        <v>42767</v>
      </c>
      <c r="Y2" s="74">
        <v>42826</v>
      </c>
      <c r="Z2" s="74">
        <v>42826</v>
      </c>
      <c r="AA2" s="63"/>
      <c r="AB2" s="67">
        <v>42522</v>
      </c>
      <c r="AC2" s="67">
        <v>42522</v>
      </c>
      <c r="AD2" s="67">
        <v>42461</v>
      </c>
      <c r="AE2" s="67">
        <v>42522</v>
      </c>
      <c r="AF2" s="67">
        <v>42522</v>
      </c>
      <c r="AG2" s="67">
        <v>42522</v>
      </c>
      <c r="AH2" s="117">
        <v>42522</v>
      </c>
      <c r="AI2" s="96">
        <v>42767</v>
      </c>
      <c r="AJ2" s="63"/>
      <c r="AK2" s="67">
        <v>42552</v>
      </c>
      <c r="AL2" s="63"/>
      <c r="AM2" s="67">
        <v>42491</v>
      </c>
      <c r="AN2" s="67">
        <v>42552</v>
      </c>
      <c r="AO2" s="67">
        <v>42552</v>
      </c>
      <c r="AP2" s="63"/>
      <c r="AQ2" s="63"/>
      <c r="AR2" s="63"/>
      <c r="AS2" s="63"/>
      <c r="AT2" s="63"/>
      <c r="AU2" s="96">
        <v>41671</v>
      </c>
      <c r="AV2" s="63"/>
      <c r="AW2" s="96">
        <v>42095</v>
      </c>
      <c r="AX2" s="74">
        <v>42401</v>
      </c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74">
        <v>42156</v>
      </c>
      <c r="BJ2" s="74">
        <v>42156</v>
      </c>
      <c r="BK2" s="74">
        <v>42391</v>
      </c>
      <c r="BL2" s="63"/>
      <c r="BM2" s="63"/>
      <c r="BN2" s="63"/>
      <c r="BO2" s="74">
        <v>42309</v>
      </c>
      <c r="BP2" s="74">
        <v>42430</v>
      </c>
      <c r="BQ2" s="74">
        <v>42430</v>
      </c>
      <c r="BR2" s="74">
        <v>42430</v>
      </c>
      <c r="BS2" s="63"/>
      <c r="BT2" s="74">
        <v>42552</v>
      </c>
      <c r="BU2" s="74">
        <v>42522</v>
      </c>
      <c r="BV2" s="74">
        <v>42552</v>
      </c>
      <c r="BW2" s="74">
        <v>42552</v>
      </c>
      <c r="BX2" s="74">
        <v>42309</v>
      </c>
      <c r="BY2" s="63"/>
      <c r="BZ2" s="74">
        <v>42552</v>
      </c>
      <c r="CA2" s="63"/>
      <c r="CB2" s="74">
        <v>42522</v>
      </c>
      <c r="CC2" s="63"/>
      <c r="CD2" s="63"/>
      <c r="CE2" s="74">
        <v>42552</v>
      </c>
      <c r="CF2" s="63"/>
      <c r="CG2" s="63"/>
      <c r="CH2" s="63"/>
      <c r="CI2" s="74">
        <v>42064</v>
      </c>
      <c r="CJ2" s="63"/>
      <c r="CK2" s="63"/>
      <c r="CL2" s="63"/>
      <c r="CM2" s="74">
        <v>42430</v>
      </c>
      <c r="CN2" s="63"/>
      <c r="CO2" s="74">
        <v>42552</v>
      </c>
      <c r="CP2" s="74">
        <v>42552</v>
      </c>
      <c r="CQ2" s="74">
        <v>42552</v>
      </c>
      <c r="CR2" s="63"/>
      <c r="CS2" s="74">
        <v>42552</v>
      </c>
      <c r="CT2" s="63"/>
      <c r="CU2" s="74">
        <v>42552</v>
      </c>
      <c r="CV2" s="63"/>
      <c r="CW2" s="74">
        <v>42552</v>
      </c>
      <c r="CX2" s="74">
        <v>42430</v>
      </c>
      <c r="CY2" s="63"/>
      <c r="CZ2" s="74">
        <v>42430</v>
      </c>
      <c r="DA2" s="74">
        <v>42430</v>
      </c>
    </row>
    <row r="3" spans="1:105" ht="119.25" customHeight="1" x14ac:dyDescent="0.25">
      <c r="A3" s="115"/>
      <c r="B3" s="93" t="s">
        <v>1</v>
      </c>
      <c r="C3" s="59" t="s">
        <v>62</v>
      </c>
      <c r="D3" s="59" t="s">
        <v>105</v>
      </c>
      <c r="E3" s="59" t="s">
        <v>106</v>
      </c>
      <c r="F3" s="59" t="s">
        <v>107</v>
      </c>
      <c r="G3" s="59" t="s">
        <v>108</v>
      </c>
      <c r="H3" s="59" t="s">
        <v>109</v>
      </c>
      <c r="I3" s="59" t="s">
        <v>110</v>
      </c>
      <c r="J3" s="59" t="s">
        <v>111</v>
      </c>
      <c r="K3" s="59" t="s">
        <v>112</v>
      </c>
      <c r="L3" s="59" t="s">
        <v>113</v>
      </c>
      <c r="M3" s="59" t="s">
        <v>114</v>
      </c>
      <c r="N3" s="59" t="s">
        <v>115</v>
      </c>
      <c r="O3" s="59" t="s">
        <v>116</v>
      </c>
      <c r="P3" s="59" t="s">
        <v>117</v>
      </c>
      <c r="Q3" s="59" t="s">
        <v>118</v>
      </c>
      <c r="R3" s="59" t="s">
        <v>119</v>
      </c>
      <c r="S3" s="59" t="s">
        <v>120</v>
      </c>
      <c r="T3" s="59" t="s">
        <v>121</v>
      </c>
      <c r="U3" s="59" t="s">
        <v>122</v>
      </c>
      <c r="V3" s="59" t="s">
        <v>123</v>
      </c>
      <c r="W3" s="59" t="s">
        <v>124</v>
      </c>
      <c r="X3" s="116" t="s">
        <v>125</v>
      </c>
      <c r="Y3" s="59" t="s">
        <v>126</v>
      </c>
      <c r="Z3" s="59" t="s">
        <v>127</v>
      </c>
      <c r="AA3" s="59" t="s">
        <v>128</v>
      </c>
      <c r="AB3" s="59" t="s">
        <v>129</v>
      </c>
      <c r="AC3" s="59" t="s">
        <v>130</v>
      </c>
      <c r="AD3" s="59" t="s">
        <v>131</v>
      </c>
      <c r="AE3" s="59" t="s">
        <v>132</v>
      </c>
      <c r="AF3" s="59" t="s">
        <v>133</v>
      </c>
      <c r="AG3" s="59" t="s">
        <v>134</v>
      </c>
      <c r="AH3" s="59" t="s">
        <v>135</v>
      </c>
      <c r="AI3" s="59" t="s">
        <v>136</v>
      </c>
      <c r="AJ3" s="59" t="s">
        <v>137</v>
      </c>
      <c r="AK3" s="59" t="s">
        <v>138</v>
      </c>
      <c r="AL3" s="59" t="s">
        <v>139</v>
      </c>
      <c r="AM3" s="59" t="s">
        <v>140</v>
      </c>
      <c r="AN3" s="59" t="s">
        <v>141</v>
      </c>
      <c r="AO3" s="59" t="s">
        <v>142</v>
      </c>
      <c r="AP3" s="59" t="s">
        <v>143</v>
      </c>
      <c r="AQ3" s="59" t="s">
        <v>144</v>
      </c>
      <c r="AR3" s="59" t="s">
        <v>145</v>
      </c>
      <c r="AS3" s="59" t="s">
        <v>146</v>
      </c>
      <c r="AT3" s="59" t="s">
        <v>147</v>
      </c>
      <c r="AU3" s="59" t="s">
        <v>148</v>
      </c>
      <c r="AV3" s="59" t="s">
        <v>149</v>
      </c>
      <c r="AW3" s="59" t="s">
        <v>150</v>
      </c>
      <c r="AX3" s="59" t="s">
        <v>151</v>
      </c>
      <c r="AY3" s="59" t="s">
        <v>152</v>
      </c>
      <c r="AZ3" s="59" t="s">
        <v>153</v>
      </c>
      <c r="BA3" s="59" t="s">
        <v>154</v>
      </c>
      <c r="BB3" s="59" t="s">
        <v>155</v>
      </c>
      <c r="BC3" s="59" t="s">
        <v>156</v>
      </c>
      <c r="BD3" s="59" t="s">
        <v>157</v>
      </c>
      <c r="BE3" s="59" t="s">
        <v>158</v>
      </c>
      <c r="BF3" s="59" t="s">
        <v>84</v>
      </c>
      <c r="BG3" s="59" t="s">
        <v>85</v>
      </c>
      <c r="BH3" s="59" t="s">
        <v>159</v>
      </c>
      <c r="BI3" s="59" t="s">
        <v>160</v>
      </c>
      <c r="BJ3" s="59" t="s">
        <v>161</v>
      </c>
      <c r="BK3" s="59" t="s">
        <v>211</v>
      </c>
      <c r="BL3" s="59" t="s">
        <v>162</v>
      </c>
      <c r="BM3" s="59" t="s">
        <v>163</v>
      </c>
      <c r="BN3" s="59" t="s">
        <v>164</v>
      </c>
      <c r="BO3" s="59" t="s">
        <v>165</v>
      </c>
      <c r="BP3" s="59" t="s">
        <v>166</v>
      </c>
      <c r="BQ3" s="59" t="s">
        <v>167</v>
      </c>
      <c r="BR3" s="59" t="s">
        <v>168</v>
      </c>
      <c r="BS3" s="59" t="s">
        <v>169</v>
      </c>
      <c r="BT3" s="59" t="s">
        <v>170</v>
      </c>
      <c r="BU3" s="59" t="s">
        <v>171</v>
      </c>
      <c r="BV3" s="59" t="s">
        <v>172</v>
      </c>
      <c r="BW3" s="59" t="s">
        <v>173</v>
      </c>
      <c r="BX3" s="59" t="s">
        <v>174</v>
      </c>
      <c r="BY3" s="59" t="s">
        <v>175</v>
      </c>
      <c r="BZ3" s="59" t="s">
        <v>176</v>
      </c>
      <c r="CA3" s="59" t="s">
        <v>177</v>
      </c>
      <c r="CB3" s="59" t="s">
        <v>178</v>
      </c>
      <c r="CC3" s="59" t="s">
        <v>89</v>
      </c>
      <c r="CD3" s="59" t="s">
        <v>179</v>
      </c>
      <c r="CE3" s="59" t="s">
        <v>180</v>
      </c>
      <c r="CF3" s="59" t="s">
        <v>181</v>
      </c>
      <c r="CG3" s="59" t="s">
        <v>99</v>
      </c>
      <c r="CH3" s="59" t="s">
        <v>182</v>
      </c>
      <c r="CI3" s="59" t="s">
        <v>183</v>
      </c>
      <c r="CJ3" s="59" t="s">
        <v>184</v>
      </c>
      <c r="CK3" s="59" t="s">
        <v>185</v>
      </c>
      <c r="CL3" s="59" t="s">
        <v>186</v>
      </c>
      <c r="CM3" s="59" t="s">
        <v>187</v>
      </c>
      <c r="CN3" s="59" t="s">
        <v>188</v>
      </c>
      <c r="CO3" s="59" t="s">
        <v>189</v>
      </c>
      <c r="CP3" s="59" t="s">
        <v>190</v>
      </c>
      <c r="CQ3" s="59" t="s">
        <v>191</v>
      </c>
      <c r="CR3" s="59" t="s">
        <v>192</v>
      </c>
      <c r="CS3" s="59" t="s">
        <v>193</v>
      </c>
      <c r="CT3" s="59" t="s">
        <v>194</v>
      </c>
      <c r="CU3" s="59" t="s">
        <v>195</v>
      </c>
      <c r="CV3" s="59" t="s">
        <v>196</v>
      </c>
      <c r="CW3" s="59" t="s">
        <v>197</v>
      </c>
      <c r="CX3" s="59" t="s">
        <v>198</v>
      </c>
      <c r="CY3" s="59" t="s">
        <v>199</v>
      </c>
      <c r="CZ3" s="59" t="s">
        <v>200</v>
      </c>
      <c r="DA3" s="59" t="s">
        <v>201</v>
      </c>
    </row>
    <row r="4" spans="1:105" x14ac:dyDescent="0.25">
      <c r="A4" s="102"/>
      <c r="B4" s="102"/>
      <c r="C4" s="60">
        <v>1</v>
      </c>
      <c r="D4" s="60">
        <v>2</v>
      </c>
      <c r="E4" s="62">
        <v>3</v>
      </c>
      <c r="F4" s="60">
        <v>4</v>
      </c>
      <c r="G4" s="60">
        <v>5</v>
      </c>
      <c r="H4" s="62">
        <v>6</v>
      </c>
      <c r="I4" s="60">
        <v>7</v>
      </c>
      <c r="J4" s="60">
        <v>8</v>
      </c>
      <c r="K4" s="62">
        <v>9</v>
      </c>
      <c r="L4" s="60">
        <v>10</v>
      </c>
      <c r="M4" s="60">
        <v>11</v>
      </c>
      <c r="N4" s="62">
        <v>12</v>
      </c>
      <c r="O4" s="60">
        <v>13</v>
      </c>
      <c r="P4" s="60">
        <v>14</v>
      </c>
      <c r="Q4" s="62">
        <v>15</v>
      </c>
      <c r="R4" s="60">
        <v>16</v>
      </c>
      <c r="S4" s="60">
        <v>17</v>
      </c>
      <c r="T4" s="62">
        <v>18</v>
      </c>
      <c r="U4" s="60">
        <v>19</v>
      </c>
      <c r="V4" s="60">
        <v>20</v>
      </c>
      <c r="W4" s="62">
        <v>21</v>
      </c>
      <c r="X4" s="60">
        <v>22</v>
      </c>
      <c r="Y4" s="60">
        <v>23</v>
      </c>
      <c r="Z4" s="62">
        <v>24</v>
      </c>
      <c r="AA4" s="60">
        <v>25</v>
      </c>
      <c r="AB4" s="60">
        <v>26</v>
      </c>
      <c r="AC4" s="62">
        <v>27</v>
      </c>
      <c r="AD4" s="60">
        <v>28</v>
      </c>
      <c r="AE4" s="60">
        <v>29</v>
      </c>
      <c r="AF4" s="62">
        <v>30</v>
      </c>
      <c r="AG4" s="60">
        <v>31</v>
      </c>
      <c r="AH4" s="60">
        <v>32</v>
      </c>
      <c r="AI4" s="62">
        <v>33</v>
      </c>
      <c r="AJ4" s="60">
        <v>34</v>
      </c>
      <c r="AK4" s="60">
        <v>35</v>
      </c>
      <c r="AL4" s="62">
        <v>36</v>
      </c>
      <c r="AM4" s="60">
        <v>37</v>
      </c>
      <c r="AN4" s="60">
        <v>38</v>
      </c>
      <c r="AO4" s="62">
        <v>39</v>
      </c>
      <c r="AP4" s="60">
        <v>40</v>
      </c>
      <c r="AQ4" s="60">
        <v>41</v>
      </c>
      <c r="AR4" s="62">
        <v>42</v>
      </c>
      <c r="AS4" s="60">
        <v>43</v>
      </c>
      <c r="AT4" s="60">
        <v>44</v>
      </c>
      <c r="AU4" s="62">
        <v>45</v>
      </c>
      <c r="AV4" s="60">
        <v>46</v>
      </c>
      <c r="AW4" s="60">
        <v>47</v>
      </c>
      <c r="AX4" s="62">
        <v>48</v>
      </c>
      <c r="AY4" s="60">
        <v>49</v>
      </c>
      <c r="AZ4" s="60">
        <v>50</v>
      </c>
      <c r="BA4" s="62">
        <v>51</v>
      </c>
      <c r="BB4" s="60">
        <v>52</v>
      </c>
      <c r="BC4" s="60">
        <v>53</v>
      </c>
      <c r="BD4" s="62">
        <v>54</v>
      </c>
      <c r="BE4" s="60">
        <v>55</v>
      </c>
      <c r="BF4" s="60">
        <v>56</v>
      </c>
      <c r="BG4" s="62">
        <v>57</v>
      </c>
      <c r="BH4" s="60">
        <v>58</v>
      </c>
      <c r="BI4" s="60">
        <v>59</v>
      </c>
      <c r="BJ4" s="62">
        <v>60</v>
      </c>
      <c r="BK4" s="60">
        <v>61</v>
      </c>
      <c r="BL4" s="60">
        <v>62</v>
      </c>
      <c r="BM4" s="62">
        <v>63</v>
      </c>
      <c r="BN4" s="60">
        <v>64</v>
      </c>
      <c r="BO4" s="60">
        <v>65</v>
      </c>
      <c r="BP4" s="62">
        <v>66</v>
      </c>
      <c r="BQ4" s="60">
        <v>67</v>
      </c>
      <c r="BR4" s="60">
        <v>68</v>
      </c>
      <c r="BS4" s="60">
        <v>69</v>
      </c>
      <c r="BT4" s="60">
        <v>70</v>
      </c>
      <c r="BU4" s="60">
        <v>71</v>
      </c>
      <c r="BV4" s="62">
        <v>72</v>
      </c>
      <c r="BW4" s="60">
        <v>73</v>
      </c>
      <c r="BX4" s="60">
        <v>74</v>
      </c>
      <c r="BY4" s="62">
        <v>75</v>
      </c>
      <c r="BZ4" s="60">
        <v>76</v>
      </c>
      <c r="CA4" s="60">
        <v>77</v>
      </c>
      <c r="CB4" s="62">
        <v>78</v>
      </c>
      <c r="CC4" s="60">
        <v>79</v>
      </c>
      <c r="CD4" s="60">
        <v>80</v>
      </c>
      <c r="CE4" s="62">
        <v>81</v>
      </c>
      <c r="CF4" s="60">
        <v>82</v>
      </c>
      <c r="CG4" s="60">
        <v>83</v>
      </c>
      <c r="CH4" s="62">
        <v>84</v>
      </c>
      <c r="CI4" s="60">
        <v>85</v>
      </c>
      <c r="CJ4" s="60">
        <v>86</v>
      </c>
      <c r="CK4" s="62">
        <v>87</v>
      </c>
      <c r="CL4" s="60">
        <v>88</v>
      </c>
      <c r="CM4" s="60">
        <v>89</v>
      </c>
      <c r="CN4" s="62">
        <v>90</v>
      </c>
      <c r="CO4" s="60">
        <v>91</v>
      </c>
      <c r="CP4" s="60">
        <v>92</v>
      </c>
      <c r="CQ4" s="62">
        <v>93</v>
      </c>
      <c r="CR4" s="60">
        <v>94</v>
      </c>
      <c r="CS4" s="60">
        <v>95</v>
      </c>
      <c r="CT4" s="62">
        <v>96</v>
      </c>
      <c r="CU4" s="60">
        <v>97</v>
      </c>
      <c r="CV4" s="60">
        <v>98</v>
      </c>
      <c r="CW4" s="62">
        <v>99</v>
      </c>
      <c r="CX4" s="60">
        <v>100</v>
      </c>
      <c r="CY4" s="60">
        <v>101</v>
      </c>
      <c r="CZ4" s="62">
        <v>102</v>
      </c>
      <c r="DA4" s="60">
        <v>103</v>
      </c>
    </row>
    <row r="5" spans="1:105" ht="31.5" hidden="1" x14ac:dyDescent="0.25">
      <c r="A5" s="8"/>
      <c r="B5" s="11" t="s">
        <v>42</v>
      </c>
      <c r="C5" s="61">
        <f>Z6*1.18</f>
        <v>17.11</v>
      </c>
    </row>
    <row r="6" spans="1:105" ht="31.5" x14ac:dyDescent="0.25">
      <c r="A6" s="8"/>
      <c r="B6" s="11" t="s">
        <v>213</v>
      </c>
      <c r="C6" s="12">
        <f>C7+C17+C23+C27+C28+C29+C30</f>
        <v>16</v>
      </c>
      <c r="D6" s="12">
        <f>D7+D17+D23+D27+D28+D29+D30</f>
        <v>18.462060000000001</v>
      </c>
      <c r="E6" s="12">
        <f>E7+E17+E23+E27+E28+E29+E30</f>
        <v>16</v>
      </c>
      <c r="F6" s="12">
        <f>F7+F17+F23+F28+F31</f>
        <v>34.17</v>
      </c>
      <c r="G6" s="12">
        <f t="shared" ref="G6:M6" si="0">G7+G17+G23+G28+G31</f>
        <v>34.17</v>
      </c>
      <c r="H6" s="12">
        <f t="shared" si="0"/>
        <v>34.17</v>
      </c>
      <c r="I6" s="12">
        <f t="shared" si="0"/>
        <v>34.17</v>
      </c>
      <c r="J6" s="12">
        <f t="shared" si="0"/>
        <v>34.17</v>
      </c>
      <c r="K6" s="12">
        <f t="shared" si="0"/>
        <v>34.17</v>
      </c>
      <c r="L6" s="12">
        <f t="shared" si="0"/>
        <v>34.17</v>
      </c>
      <c r="M6" s="12">
        <f t="shared" si="0"/>
        <v>34.17</v>
      </c>
      <c r="N6" s="12">
        <f t="shared" ref="N6" si="1">N7+N17+N23+N28+N31</f>
        <v>34.17</v>
      </c>
      <c r="O6" s="12">
        <f>O7+O17+O23+O27+O28+O30+O29+O31</f>
        <v>17.5976</v>
      </c>
      <c r="P6" s="12">
        <f>P7+P17+P23+P27+P28+P30+P29+P31</f>
        <v>24.223459999999999</v>
      </c>
      <c r="Q6" s="12">
        <f>Q7+Q17+Q23+Q27+Q28+Q30+Q29+Q31</f>
        <v>12.35</v>
      </c>
      <c r="R6" s="12">
        <f>R7+R17+R23+R27+R28+R30+R29+R31</f>
        <v>14.180000000000001</v>
      </c>
      <c r="S6" s="12">
        <f>S7+S17+S23+S27+S28+S30+S29+S31</f>
        <v>32.019999999999996</v>
      </c>
      <c r="T6" s="12">
        <f>T7+T17+T23+T27+T28+T29+T30</f>
        <v>16</v>
      </c>
      <c r="U6" s="12">
        <f>U7+U17+U23+U27+U28+U30+U29+U31</f>
        <v>32.019999999999996</v>
      </c>
      <c r="V6" s="12">
        <f>V7+V17+V23+V27+V28+V29+V30</f>
        <v>16.000000000000004</v>
      </c>
      <c r="W6" s="85">
        <v>16.000332313936994</v>
      </c>
      <c r="X6" s="12">
        <f>X7+X17+X23+X27+X28+X29+X30</f>
        <v>16.002207884737022</v>
      </c>
      <c r="Y6" s="12">
        <f>Y7+Y17+Y23+Y27+Y28+Y29+Y30+Y32</f>
        <v>15.17</v>
      </c>
      <c r="Z6" s="68">
        <f>Z7+Z17+Z23+Z27+Z28+Z29+Z30</f>
        <v>14.5</v>
      </c>
      <c r="AA6" s="12">
        <f>AA7+AA17+AA23+AA27+AA28+AA29+AA30</f>
        <v>16</v>
      </c>
      <c r="AB6" s="12">
        <f>AB7+AB17+AB23+AB27+AB28+AB29+AB30</f>
        <v>16.000000000000004</v>
      </c>
      <c r="AC6" s="12">
        <f>AC7+AC17+AC23+AC27+AC28+AC29+AC30</f>
        <v>16.000000000000004</v>
      </c>
      <c r="AD6" s="12">
        <f>AD7+AD17+AD23+AD27+AD28+AD29+AD30+AD32</f>
        <v>15.19</v>
      </c>
      <c r="AE6" s="12">
        <f t="shared" ref="AE6:AJ6" si="2">AE7+AE17+AE23+AE27+AE28+AE29+AE30</f>
        <v>16.000000000000004</v>
      </c>
      <c r="AF6" s="12">
        <f t="shared" si="2"/>
        <v>16.000000000000004</v>
      </c>
      <c r="AG6" s="12">
        <f t="shared" si="2"/>
        <v>16.000000000000004</v>
      </c>
      <c r="AH6" s="12">
        <f t="shared" si="2"/>
        <v>16.000000000000004</v>
      </c>
      <c r="AI6" s="12">
        <f>AI7+AI17+AI23+AI27+AI28+AI29+AI30</f>
        <v>16.002207884737022</v>
      </c>
      <c r="AJ6" s="12">
        <f t="shared" si="2"/>
        <v>16</v>
      </c>
      <c r="AK6" s="12">
        <f>AK7+AK17+AK23+AK27+AK28+AK29+AK30+AK32</f>
        <v>16.520000000000003</v>
      </c>
      <c r="AL6" s="12">
        <f>AL7+AL17+AL23+AL27+AL28+AL29+AL30</f>
        <v>16</v>
      </c>
      <c r="AM6" s="12">
        <f>AM7+AM17+AM23+AM27+AM28+AM29+AM30+AM32</f>
        <v>14.85</v>
      </c>
      <c r="AN6" s="12">
        <f>AN7+AN17+AN23+AN27+AN28+AN29+AN30+AN32</f>
        <v>16.000000000000004</v>
      </c>
      <c r="AO6" s="12">
        <f>AO7+AO17+AO23+AO27+AO28+AO29+AO30+AO32</f>
        <v>16.550000000000004</v>
      </c>
      <c r="AP6" s="12">
        <f>AP7+AP17+AP23+AP27+AP28+AP29+AP30+AP32</f>
        <v>14.5</v>
      </c>
      <c r="AQ6" s="12">
        <f t="shared" ref="AQ6:AV6" si="3">AQ7+AQ17+AQ23+AQ27+AQ28+AQ29+AQ30</f>
        <v>16</v>
      </c>
      <c r="AR6" s="12">
        <f t="shared" si="3"/>
        <v>16</v>
      </c>
      <c r="AS6" s="12">
        <f t="shared" si="3"/>
        <v>16</v>
      </c>
      <c r="AT6" s="12">
        <f t="shared" si="3"/>
        <v>16</v>
      </c>
      <c r="AU6" s="12">
        <f t="shared" si="3"/>
        <v>17.954450000000001</v>
      </c>
      <c r="AV6" s="12">
        <f t="shared" si="3"/>
        <v>16</v>
      </c>
      <c r="AW6" s="12">
        <f>AW7+AW17+AW23+AW27+AW28+AW29+AW31</f>
        <v>21.067440000000001</v>
      </c>
      <c r="AX6" s="12">
        <f>AX7+AX17+AX23+AX27+AX28+AX29+AX30</f>
        <v>16.3705</v>
      </c>
      <c r="AY6" s="12">
        <f>AY7+AY17+AY23+AY27+AY28+AY29+AY30</f>
        <v>16</v>
      </c>
      <c r="AZ6" s="12">
        <f>AZ7+AZ17+AZ23+AZ27+AZ28+AZ29+AZ30</f>
        <v>16</v>
      </c>
      <c r="BA6" s="12">
        <f>BA7+BA17+BA23+BA27+BA28+BA29+BA30</f>
        <v>16</v>
      </c>
      <c r="BB6" s="12">
        <f>BB7+BB17+BB23+BB27+BB28+BB29+BB30</f>
        <v>16</v>
      </c>
      <c r="BC6" s="12">
        <f>BC7+BC17+BC23+BC27+BC28+BC29+BC30+BC32</f>
        <v>14.5</v>
      </c>
      <c r="BD6" s="12">
        <f t="shared" ref="BD6:BI6" si="4">BD7+BD17+BD23+BD27+BD28+BD29+BD30</f>
        <v>16</v>
      </c>
      <c r="BE6" s="12">
        <f t="shared" si="4"/>
        <v>16</v>
      </c>
      <c r="BF6" s="12">
        <f t="shared" si="4"/>
        <v>16</v>
      </c>
      <c r="BG6" s="12">
        <f t="shared" si="4"/>
        <v>16</v>
      </c>
      <c r="BH6" s="12">
        <f t="shared" si="4"/>
        <v>16</v>
      </c>
      <c r="BI6" s="12">
        <f t="shared" si="4"/>
        <v>17.849880000000002</v>
      </c>
      <c r="BJ6" s="12">
        <f>BJ7+BJ17+BJ23+BJ27+BJ28+BJ30+BJ33</f>
        <v>26.959820000000001</v>
      </c>
      <c r="BK6" s="12">
        <f>BK7+BK17+BK23+BK27+BK28+BK30+BK33+BK34+BK35</f>
        <v>24.189999999999998</v>
      </c>
      <c r="BL6" s="12">
        <f>BL7+BL17+BL23+BL27+BL28+BL29+BL30+BL32</f>
        <v>14.5</v>
      </c>
      <c r="BM6" s="12">
        <f>BM7+BM17+BM23+BM27+BM28+BM29+BM30</f>
        <v>16</v>
      </c>
      <c r="BN6" s="12">
        <f>BN7+BN17+BN23+BN27+BN28+BN29+BN30+BN32</f>
        <v>14.5</v>
      </c>
      <c r="BO6" s="12">
        <f>BO7+BO17+BO23+BO27+BO28+BO29+BO30</f>
        <v>17.190000438000002</v>
      </c>
      <c r="BP6" s="12">
        <f t="shared" ref="BP6:BT6" si="5">BP7+BP17+BP23+BP27+BP28+BP29+BP30</f>
        <v>18.150600000000001</v>
      </c>
      <c r="BQ6" s="12">
        <f t="shared" si="5"/>
        <v>18.150600000000001</v>
      </c>
      <c r="BR6" s="12">
        <f t="shared" si="5"/>
        <v>18.150600000000001</v>
      </c>
      <c r="BS6" s="12">
        <f t="shared" si="5"/>
        <v>16</v>
      </c>
      <c r="BT6" s="12">
        <f t="shared" si="5"/>
        <v>16.000000000000004</v>
      </c>
      <c r="BU6" s="12">
        <f>BU7+BU17+BU23+BU27+BU28+BU29+BU30+BU32</f>
        <v>14.5</v>
      </c>
      <c r="BV6" s="12">
        <f>BV7+BV17+BV23+BV27+BV28+BV29+BV30+BV32</f>
        <v>16.440000000000005</v>
      </c>
      <c r="BW6" s="12">
        <f>BW7+BW17+BW23+BW27+BW28+BW29+BW30</f>
        <v>16.000000000000004</v>
      </c>
      <c r="BX6" s="12">
        <f>BX7+BX18+BX24+BX28+BX29+BX30+BX31</f>
        <v>17.847027399999998</v>
      </c>
      <c r="BY6" s="12">
        <f>BY7+BY17+BY23+BY27+BY28+BY30+BY29+BY31</f>
        <v>12.35</v>
      </c>
      <c r="BZ6" s="12">
        <f>BZ7+BZ17+BZ23+BZ27+BZ28+BZ29+BZ30+BZ32</f>
        <v>16.510000000000005</v>
      </c>
      <c r="CA6" s="12">
        <f>CA7+CA17+CA23+CA27+CA28+CA29+CA30</f>
        <v>16</v>
      </c>
      <c r="CB6" s="12">
        <f>CB7+CB17+CB23+CB27+CB28+CB29+CB30+CB32</f>
        <v>14.5</v>
      </c>
      <c r="CC6" s="12">
        <f>CC7+CC17+CC23+CC27+CC28+CC29+CC30</f>
        <v>16</v>
      </c>
      <c r="CD6" s="12">
        <f>CD7+CD17+CD23+CD27+CD28+CD29+CD30</f>
        <v>16</v>
      </c>
      <c r="CE6" s="12">
        <f>CE7+CE17+CE23+CE27+CE28+CE29+CE30+CE32</f>
        <v>16.000000000000004</v>
      </c>
      <c r="CF6" s="12">
        <f>CF7+CF17+CF23+CF27+CF28+CF29+CF30</f>
        <v>16</v>
      </c>
      <c r="CG6" s="12">
        <f>CG7+CG17+CG23+CG27+CG28+CG29+CG30</f>
        <v>16</v>
      </c>
      <c r="CH6" s="12">
        <f>CH7+CH17+CH23+CH27+CH28+CH29+CH30</f>
        <v>16</v>
      </c>
      <c r="CI6" s="12">
        <f>CI7+CI17+CI23+CI27+CI29+CI31+CI32+CI28</f>
        <v>17.108820000000001</v>
      </c>
      <c r="CJ6" s="12">
        <f>CJ7+CJ17+CJ23+CJ27+CJ28+CJ29+CJ30</f>
        <v>16</v>
      </c>
      <c r="CK6" s="12">
        <f>CK7+CK17+CK23+CK27+CK28+CK29+CK30</f>
        <v>16</v>
      </c>
      <c r="CL6" s="12">
        <f>CL7+CL17+CL23+CL27+CL28+CL29+CL30</f>
        <v>16</v>
      </c>
      <c r="CM6" s="12">
        <f>CM7+CM17+CM23+CM27+CM28+CM29+CM30</f>
        <v>18.150600000000001</v>
      </c>
      <c r="CN6" s="12">
        <f>CN7+CN17+CN23+CN27+CN28+CN29+CN30</f>
        <v>16</v>
      </c>
      <c r="CO6" s="12">
        <f>CO7+CO17+CO23+CO27+CO28+CO29+CO30+CO32</f>
        <v>16.000000000000004</v>
      </c>
      <c r="CP6" s="12">
        <f>CP7+CP17+CP23+CP27+CP28+CP29+CP30+CP32</f>
        <v>16.000000000000004</v>
      </c>
      <c r="CQ6" s="12">
        <f>CQ7+CQ17+CQ23+CQ27+CQ28+CQ29+CQ30+CQ32</f>
        <v>16.470000000000002</v>
      </c>
      <c r="CR6" s="12">
        <f>CR7+CR17+CR23+CR27+CR28+CR29+CR30+CR32</f>
        <v>14.5</v>
      </c>
      <c r="CS6" s="12">
        <f>CS7+CS17+CS23+CS27+CS28+CS29+CS30+CS32</f>
        <v>16.000000000000004</v>
      </c>
      <c r="CT6" s="12">
        <f>CT7+CT17+CT23+CT27+CT28+CT29+CT30</f>
        <v>16</v>
      </c>
      <c r="CU6" s="12">
        <f>CU7+CU17+CU23+CU27+CU28+CU29+CU30+CU32</f>
        <v>16.540000000000003</v>
      </c>
      <c r="CV6" s="12">
        <f>CV7+CV17+CV23+CV27+CV28+CV29+CV30</f>
        <v>16</v>
      </c>
      <c r="CW6" s="12">
        <f>CW7+CW17+CW23+CW27+CW28+CW29+CW30+CW32</f>
        <v>16.000000000000004</v>
      </c>
      <c r="CX6" s="12">
        <f>CX7+CX17+CX23+CX27+CX28+CX29+CX30</f>
        <v>18.150600000000001</v>
      </c>
      <c r="CY6" s="12">
        <f>CY7+CY17+CY23+CY27+CY28+CY29+CY30</f>
        <v>16</v>
      </c>
      <c r="CZ6" s="12">
        <f>CZ7+CZ17+CZ23+CZ27+CZ28+CZ29+CZ30</f>
        <v>18.150600000000001</v>
      </c>
      <c r="DA6" s="12">
        <f>DA7+DA17+DA23+DA27+DA28+DA29+DA30</f>
        <v>18.150600000000001</v>
      </c>
    </row>
    <row r="7" spans="1:105" ht="28.5" x14ac:dyDescent="0.25">
      <c r="A7" s="10" t="s">
        <v>43</v>
      </c>
      <c r="B7" s="7" t="s">
        <v>2</v>
      </c>
      <c r="C7" s="5">
        <f>C8+C9+C10+C11+C12+C13+C15+C16</f>
        <v>1.0400000000000003</v>
      </c>
      <c r="D7" s="16">
        <f>D8+D9+D10+D11+D12+D13+D15+D16</f>
        <v>1.1921400000000002</v>
      </c>
      <c r="E7" s="5">
        <f>E8+E9+E10+E11+E12+E13+E15+E16</f>
        <v>1.0400000000000003</v>
      </c>
      <c r="F7" s="5">
        <v>1.29</v>
      </c>
      <c r="G7" s="5">
        <v>1.29</v>
      </c>
      <c r="H7" s="5">
        <v>1.29</v>
      </c>
      <c r="I7" s="5">
        <v>1.29</v>
      </c>
      <c r="J7" s="5">
        <v>1.29</v>
      </c>
      <c r="K7" s="5">
        <v>1.29</v>
      </c>
      <c r="L7" s="5">
        <v>1.29</v>
      </c>
      <c r="M7" s="5">
        <v>1.29</v>
      </c>
      <c r="N7" s="5">
        <v>1.29</v>
      </c>
      <c r="O7" s="5">
        <f>SUM(O8:O16)</f>
        <v>0.99</v>
      </c>
      <c r="P7" s="5">
        <f>SUM(P8:P16)</f>
        <v>1.25</v>
      </c>
      <c r="Q7" s="5">
        <v>1.59</v>
      </c>
      <c r="R7" s="5">
        <v>1.5</v>
      </c>
      <c r="S7" s="5">
        <v>1.3</v>
      </c>
      <c r="T7" s="5">
        <f>T8+T9+T10+T11+T12+T13+T15+T16</f>
        <v>1.0400000000000003</v>
      </c>
      <c r="U7" s="5">
        <v>1.3</v>
      </c>
      <c r="V7" s="5">
        <v>1.26</v>
      </c>
      <c r="W7" s="83">
        <v>1.2642557443348246</v>
      </c>
      <c r="X7" s="5">
        <f>X8+X9+X10+X11+X12+X13+X15+X16</f>
        <v>1.2500000000000002</v>
      </c>
      <c r="Y7" s="5">
        <f>Y8+Y9+Y10+Y11+Y12+Y13+Y15+Y16</f>
        <v>1.1200000000000001</v>
      </c>
      <c r="Z7" s="79">
        <f>SUM(Z8:Z16)</f>
        <v>1.1200000000000001</v>
      </c>
      <c r="AA7" s="5">
        <f>AA8+AA9+AA10+AA11+AA12+AA13+AA15+AA16</f>
        <v>1.0400000000000003</v>
      </c>
      <c r="AB7" s="5">
        <v>1.26</v>
      </c>
      <c r="AC7" s="5">
        <v>1.26</v>
      </c>
      <c r="AD7" s="5">
        <f>AD8+AD9+AD10+AD11+AD12+AD14+AD15+AD16</f>
        <v>1.1200000000000001</v>
      </c>
      <c r="AE7" s="5">
        <v>1.26</v>
      </c>
      <c r="AF7" s="5">
        <v>1.26</v>
      </c>
      <c r="AG7" s="5">
        <v>1.26</v>
      </c>
      <c r="AH7" s="5">
        <v>1.26</v>
      </c>
      <c r="AI7" s="5">
        <f>AI8+AI9+AI10+AI11+AI12+AI13+AI15+AI16</f>
        <v>1.2500000000000002</v>
      </c>
      <c r="AJ7" s="5">
        <f>AJ8+AJ9+AJ10+AJ11+AJ12+AJ13+AJ15+AJ16</f>
        <v>1.0400000000000003</v>
      </c>
      <c r="AK7" s="5">
        <v>1.26</v>
      </c>
      <c r="AL7" s="5">
        <f>AL8+AL9+AL10+AL11+AL12+AL13+AL15+AL16</f>
        <v>1.0400000000000003</v>
      </c>
      <c r="AM7" s="5">
        <f>AM8+AM9+AM10+AM11+AM12+AM14+AM15+AM16</f>
        <v>1.1200000000000001</v>
      </c>
      <c r="AN7" s="5">
        <v>1.26</v>
      </c>
      <c r="AO7" s="5">
        <v>1.26</v>
      </c>
      <c r="AP7" s="5">
        <v>1.51</v>
      </c>
      <c r="AQ7" s="5">
        <f t="shared" ref="AQ7:AV7" si="6">AQ8+AQ9+AQ10+AQ11+AQ12+AQ13+AQ15+AQ16</f>
        <v>1.0400000000000003</v>
      </c>
      <c r="AR7" s="5">
        <f t="shared" si="6"/>
        <v>1.0400000000000003</v>
      </c>
      <c r="AS7" s="5">
        <f t="shared" si="6"/>
        <v>1.0400000000000003</v>
      </c>
      <c r="AT7" s="5">
        <f t="shared" si="6"/>
        <v>1.0400000000000003</v>
      </c>
      <c r="AU7" s="16">
        <f t="shared" si="6"/>
        <v>1.1491800000000003</v>
      </c>
      <c r="AV7" s="5">
        <f t="shared" si="6"/>
        <v>1.0400000000000003</v>
      </c>
      <c r="AW7" s="16">
        <f>AW8+AW9+AW10+AW11+AW12+AW13+AW14+AW15+AW16</f>
        <v>1.4239800000000002</v>
      </c>
      <c r="AX7" s="54">
        <f>SUM(AX8:AX16)</f>
        <v>1.2644799999999998</v>
      </c>
      <c r="AY7" s="5">
        <f>AY8+AY9+AY10+AY11+AY12+AY13+AY15+AY16</f>
        <v>1.0400000000000003</v>
      </c>
      <c r="AZ7" s="5">
        <f>AZ8+AZ9+AZ10+AZ11+AZ12+AZ13+AZ15+AZ16</f>
        <v>1.0400000000000003</v>
      </c>
      <c r="BA7" s="5">
        <f>BA8+BA9+BA10+BA11+BA12+BA13+BA15+BA16</f>
        <v>1.0400000000000003</v>
      </c>
      <c r="BB7" s="5">
        <f>BB8+BB9+BB10+BB11+BB12+BB13+BB15+BB16</f>
        <v>1.0400000000000003</v>
      </c>
      <c r="BC7" s="5">
        <v>1.51</v>
      </c>
      <c r="BD7" s="5">
        <f t="shared" ref="BD7:BI7" si="7">BD8+BD9+BD10+BD11+BD12+BD13+BD15+BD16</f>
        <v>1.0400000000000003</v>
      </c>
      <c r="BE7" s="5">
        <f t="shared" si="7"/>
        <v>1.0400000000000003</v>
      </c>
      <c r="BF7" s="5">
        <f t="shared" si="7"/>
        <v>1.0400000000000003</v>
      </c>
      <c r="BG7" s="5">
        <f t="shared" si="7"/>
        <v>1.0400000000000003</v>
      </c>
      <c r="BH7" s="5">
        <f t="shared" si="7"/>
        <v>1.0400000000000003</v>
      </c>
      <c r="BI7" s="54">
        <f t="shared" si="7"/>
        <v>1.4284200000000002</v>
      </c>
      <c r="BJ7" s="16">
        <f>BJ8+BJ9+BJ10+BJ11+BJ12+BJ15+BJ16</f>
        <v>1.4295900000000001</v>
      </c>
      <c r="BK7" s="16">
        <v>1.52</v>
      </c>
      <c r="BL7" s="5">
        <v>1.51</v>
      </c>
      <c r="BM7" s="5">
        <f>BM8+BM9+BM10+BM11+BM12+BM13+BM15+BM16</f>
        <v>1.0400000000000003</v>
      </c>
      <c r="BN7" s="5">
        <v>1.51</v>
      </c>
      <c r="BO7" s="16">
        <f>BO8+BO9+BO10+BO11+BO12+BO13+BO15+BO16</f>
        <v>1.3062116880000001</v>
      </c>
      <c r="BP7" s="54">
        <f>BP8+BP9+BP10+BP11+BP12+BP13+BP15+BP16</f>
        <v>1.1599200000000001</v>
      </c>
      <c r="BQ7" s="54">
        <f>BQ8+BQ9+BQ10+BQ11+BQ12+BQ13+BQ15+BQ16</f>
        <v>1.1599200000000001</v>
      </c>
      <c r="BR7" s="54">
        <f>BR8+BR9+BR10+BR11+BR12+BR13+BR15+BR16</f>
        <v>1.1599200000000001</v>
      </c>
      <c r="BS7" s="5">
        <f>BS8+BS9+BS10+BS11+BS12+BS13+BS15+BS16</f>
        <v>1.0400000000000003</v>
      </c>
      <c r="BT7" s="5">
        <v>1.26</v>
      </c>
      <c r="BU7" s="5">
        <f>BU8+BU9+BU10+BU11+BU12+BU14+BU15+BU16</f>
        <v>1.1200000000000001</v>
      </c>
      <c r="BV7" s="5">
        <v>1.26</v>
      </c>
      <c r="BW7" s="5">
        <v>1.26</v>
      </c>
      <c r="BX7" s="16">
        <f>BX8+BX9+BX10+BX11+BX12+BX13+BX15+BX16+BX17</f>
        <v>1.1785474</v>
      </c>
      <c r="BY7" s="5">
        <v>1.59</v>
      </c>
      <c r="BZ7" s="5">
        <v>1.26</v>
      </c>
      <c r="CA7" s="5">
        <f>CA8+CA9+CA10+CA11+CA12+CA13+CA15+CA16</f>
        <v>1.0400000000000003</v>
      </c>
      <c r="CB7" s="5">
        <f>CB8+CB9+CB10+CB11+CB12+CB14+CB15+CB16</f>
        <v>1.1200000000000001</v>
      </c>
      <c r="CC7" s="5">
        <f>CC8+CC9+CC10+CC11+CC12+CC13+CC15+CC16</f>
        <v>1.0400000000000003</v>
      </c>
      <c r="CD7" s="5">
        <f>CD8+CD9+CD10+CD11+CD12+CD13+CD15+CD16</f>
        <v>1.0400000000000003</v>
      </c>
      <c r="CE7" s="5">
        <v>1.26</v>
      </c>
      <c r="CF7" s="5">
        <f>CF8+CF9+CF10+CF11+CF12+CF13+CF15+CF16</f>
        <v>1.0400000000000003</v>
      </c>
      <c r="CG7" s="5">
        <f>CG8+CG9+CG10+CG11+CG12+CG13+CG15+CG16</f>
        <v>1.0400000000000003</v>
      </c>
      <c r="CH7" s="5">
        <f>CH8+CH9+CH10+CH11+CH12+CH13+CH15+CH16</f>
        <v>1.0400000000000003</v>
      </c>
      <c r="CI7" s="16">
        <f>CI8+CI9+CI10+CI11+CI12+CI15+CI16</f>
        <v>1.4176800000000003</v>
      </c>
      <c r="CJ7" s="5">
        <f>CJ8+CJ9+CJ10+CJ11+CJ12+CJ13+CJ15+CJ16</f>
        <v>1.0400000000000003</v>
      </c>
      <c r="CK7" s="5">
        <f>CK8+CK9+CK10+CK11+CK12+CK13+CK15+CK16</f>
        <v>1.0400000000000003</v>
      </c>
      <c r="CL7" s="5">
        <f>CL8+CL9+CL10+CL11+CL12+CL13+CL15+CL16</f>
        <v>1.0400000000000003</v>
      </c>
      <c r="CM7" s="54">
        <f>CM8+CM9+CM10+CM11+CM12+CM13+CM15+CM16</f>
        <v>1.1599200000000001</v>
      </c>
      <c r="CN7" s="5">
        <f>CN8+CN9+CN10+CN11+CN12+CN13+CN15+CN16</f>
        <v>1.0400000000000003</v>
      </c>
      <c r="CO7" s="5">
        <v>1.26</v>
      </c>
      <c r="CP7" s="5">
        <v>1.26</v>
      </c>
      <c r="CQ7" s="5">
        <v>1.26</v>
      </c>
      <c r="CR7" s="5">
        <v>1.51</v>
      </c>
      <c r="CS7" s="5">
        <v>1.26</v>
      </c>
      <c r="CT7" s="5">
        <f>CT8+CT9+CT10+CT11+CT12+CT13+CT15+CT16</f>
        <v>1.0400000000000003</v>
      </c>
      <c r="CU7" s="5">
        <v>1.26</v>
      </c>
      <c r="CV7" s="5">
        <f>CV8+CV9+CV10+CV11+CV12+CV13+CV15+CV16</f>
        <v>1.0400000000000003</v>
      </c>
      <c r="CW7" s="5">
        <v>1.26</v>
      </c>
      <c r="CX7" s="54">
        <f>CX8+CX9+CX10+CX11+CX12+CX13+CX15+CX16</f>
        <v>1.1599200000000001</v>
      </c>
      <c r="CY7" s="5">
        <f>CY8+CY9+CY10+CY11+CY12+CY13+CY15+CY16</f>
        <v>1.0400000000000003</v>
      </c>
      <c r="CZ7" s="54">
        <f>CZ8+CZ9+CZ10+CZ11+CZ12+CZ13+CZ15+CZ16</f>
        <v>1.1599200000000001</v>
      </c>
      <c r="DA7" s="54">
        <f>DA8+DA9+DA10+DA11+DA12+DA13+DA15+DA16</f>
        <v>1.1599200000000001</v>
      </c>
    </row>
    <row r="8" spans="1:105" ht="30" x14ac:dyDescent="0.25">
      <c r="A8" s="9" t="s">
        <v>3</v>
      </c>
      <c r="B8" s="1" t="s">
        <v>4</v>
      </c>
      <c r="C8" s="2">
        <v>0.02</v>
      </c>
      <c r="D8" s="51">
        <f>0.02*1.074</f>
        <v>2.1480000000000003E-2</v>
      </c>
      <c r="E8" s="2">
        <v>0.02</v>
      </c>
      <c r="F8" s="2"/>
      <c r="G8" s="2"/>
      <c r="H8" s="2"/>
      <c r="I8" s="2"/>
      <c r="J8" s="2"/>
      <c r="K8" s="2"/>
      <c r="L8" s="2"/>
      <c r="M8" s="2"/>
      <c r="N8" s="2"/>
      <c r="O8" s="2">
        <v>0.02</v>
      </c>
      <c r="P8" s="2">
        <v>0.02</v>
      </c>
      <c r="Q8" s="2"/>
      <c r="R8" s="2"/>
      <c r="S8" s="2"/>
      <c r="T8" s="2">
        <v>0.02</v>
      </c>
      <c r="U8" s="2"/>
      <c r="V8" s="2">
        <v>0.02</v>
      </c>
      <c r="W8" s="84">
        <v>1.820457474822677E-2</v>
      </c>
      <c r="X8" s="2">
        <v>0.02</v>
      </c>
      <c r="Y8" s="2">
        <v>0.02</v>
      </c>
      <c r="Z8" s="69">
        <v>0.02</v>
      </c>
      <c r="AA8" s="2">
        <v>0.02</v>
      </c>
      <c r="AB8" s="2">
        <v>0.02</v>
      </c>
      <c r="AC8" s="2">
        <v>0.02</v>
      </c>
      <c r="AD8" s="2">
        <v>0.02</v>
      </c>
      <c r="AE8" s="2">
        <v>0.02</v>
      </c>
      <c r="AF8" s="2">
        <v>0.02</v>
      </c>
      <c r="AG8" s="2">
        <v>0.02</v>
      </c>
      <c r="AH8" s="2">
        <v>0.02</v>
      </c>
      <c r="AI8" s="2">
        <v>0.02</v>
      </c>
      <c r="AJ8" s="2">
        <v>0.02</v>
      </c>
      <c r="AK8" s="2">
        <v>0.02</v>
      </c>
      <c r="AL8" s="2">
        <v>0.02</v>
      </c>
      <c r="AM8" s="2">
        <v>0.02</v>
      </c>
      <c r="AN8" s="2">
        <v>0.02</v>
      </c>
      <c r="AO8" s="2">
        <v>0.02</v>
      </c>
      <c r="AP8" s="2"/>
      <c r="AQ8" s="2">
        <v>0.02</v>
      </c>
      <c r="AR8" s="2">
        <v>0.02</v>
      </c>
      <c r="AS8" s="2">
        <v>0.02</v>
      </c>
      <c r="AT8" s="2">
        <v>0.02</v>
      </c>
      <c r="AU8" s="51">
        <f>0.02*1.074</f>
        <v>2.1480000000000003E-2</v>
      </c>
      <c r="AV8" s="2">
        <v>0.02</v>
      </c>
      <c r="AW8" s="51">
        <f>0.02*1.074</f>
        <v>2.1480000000000003E-2</v>
      </c>
      <c r="AX8" s="55">
        <f>0.02*0.129+0.02</f>
        <v>2.2579999999999999E-2</v>
      </c>
      <c r="AY8" s="2">
        <v>0.02</v>
      </c>
      <c r="AZ8" s="2">
        <v>0.02</v>
      </c>
      <c r="BA8" s="2">
        <v>0.02</v>
      </c>
      <c r="BB8" s="2">
        <v>0.02</v>
      </c>
      <c r="BC8" s="2"/>
      <c r="BD8" s="2">
        <v>0.02</v>
      </c>
      <c r="BE8" s="2">
        <v>0.02</v>
      </c>
      <c r="BF8" s="2">
        <v>0.02</v>
      </c>
      <c r="BG8" s="2">
        <v>0.02</v>
      </c>
      <c r="BH8" s="2">
        <v>0.02</v>
      </c>
      <c r="BI8" s="55">
        <f>0.02*1.074</f>
        <v>2.1480000000000003E-2</v>
      </c>
      <c r="BJ8" s="55">
        <f>0.02*1.074</f>
        <v>2.1480000000000003E-2</v>
      </c>
      <c r="BK8" s="63"/>
      <c r="BL8" s="2"/>
      <c r="BM8" s="2">
        <v>0.02</v>
      </c>
      <c r="BN8" s="2"/>
      <c r="BO8" s="51">
        <f>0.024*1.074</f>
        <v>2.5776000000000004E-2</v>
      </c>
      <c r="BP8" s="55">
        <f>0.02*1.074</f>
        <v>2.1480000000000003E-2</v>
      </c>
      <c r="BQ8" s="55">
        <f>0.02*1.074</f>
        <v>2.1480000000000003E-2</v>
      </c>
      <c r="BR8" s="55">
        <f>0.02*1.074</f>
        <v>2.1480000000000003E-2</v>
      </c>
      <c r="BS8" s="2">
        <v>0.02</v>
      </c>
      <c r="BT8" s="2">
        <v>0.02</v>
      </c>
      <c r="BU8" s="2">
        <v>0.02</v>
      </c>
      <c r="BV8" s="2">
        <v>0.02</v>
      </c>
      <c r="BW8" s="2">
        <v>0.02</v>
      </c>
      <c r="BX8" s="51">
        <f>0.02*1.074</f>
        <v>2.1480000000000003E-2</v>
      </c>
      <c r="BY8" s="2"/>
      <c r="BZ8" s="2">
        <v>0.02</v>
      </c>
      <c r="CA8" s="2">
        <v>0.02</v>
      </c>
      <c r="CB8" s="2">
        <v>0.02</v>
      </c>
      <c r="CC8" s="2">
        <v>0.02</v>
      </c>
      <c r="CD8" s="2">
        <v>0.02</v>
      </c>
      <c r="CE8" s="2">
        <v>0.02</v>
      </c>
      <c r="CF8" s="2">
        <v>0.02</v>
      </c>
      <c r="CG8" s="2">
        <v>0.02</v>
      </c>
      <c r="CH8" s="2">
        <v>0.02</v>
      </c>
      <c r="CI8" s="51">
        <f>0.02*1.074</f>
        <v>2.1480000000000003E-2</v>
      </c>
      <c r="CJ8" s="2">
        <v>0.02</v>
      </c>
      <c r="CK8" s="2">
        <v>0.02</v>
      </c>
      <c r="CL8" s="2">
        <v>0.02</v>
      </c>
      <c r="CM8" s="55">
        <f>0.02*1.074</f>
        <v>2.1480000000000003E-2</v>
      </c>
      <c r="CN8" s="2">
        <v>0.02</v>
      </c>
      <c r="CO8" s="2">
        <v>0.02</v>
      </c>
      <c r="CP8" s="2">
        <v>0.02</v>
      </c>
      <c r="CQ8" s="2">
        <v>0.02</v>
      </c>
      <c r="CR8" s="2"/>
      <c r="CS8" s="2">
        <v>0.02</v>
      </c>
      <c r="CT8" s="2">
        <v>0.02</v>
      </c>
      <c r="CU8" s="2">
        <v>0.02</v>
      </c>
      <c r="CV8" s="2">
        <v>0.02</v>
      </c>
      <c r="CW8" s="2">
        <v>0.02</v>
      </c>
      <c r="CX8" s="55">
        <f>0.02*1.074</f>
        <v>2.1480000000000003E-2</v>
      </c>
      <c r="CY8" s="2">
        <v>0.02</v>
      </c>
      <c r="CZ8" s="55">
        <f>0.02*1.074</f>
        <v>2.1480000000000003E-2</v>
      </c>
      <c r="DA8" s="55">
        <f>0.02*1.074</f>
        <v>2.1480000000000003E-2</v>
      </c>
    </row>
    <row r="9" spans="1:105" ht="75" x14ac:dyDescent="0.25">
      <c r="A9" s="9" t="s">
        <v>5</v>
      </c>
      <c r="B9" s="1" t="s">
        <v>6</v>
      </c>
      <c r="C9" s="2">
        <v>0.25</v>
      </c>
      <c r="D9" s="51">
        <f>0.27*1.074</f>
        <v>0.28998000000000002</v>
      </c>
      <c r="E9" s="2">
        <v>0.25</v>
      </c>
      <c r="F9" s="2"/>
      <c r="G9" s="2"/>
      <c r="H9" s="2"/>
      <c r="I9" s="2"/>
      <c r="J9" s="2"/>
      <c r="K9" s="2"/>
      <c r="L9" s="2"/>
      <c r="M9" s="2"/>
      <c r="N9" s="2"/>
      <c r="O9" s="2">
        <v>0.23</v>
      </c>
      <c r="P9" s="2">
        <v>0.14000000000000001</v>
      </c>
      <c r="Q9" s="2"/>
      <c r="R9" s="2"/>
      <c r="S9" s="2"/>
      <c r="T9" s="2">
        <v>0.25</v>
      </c>
      <c r="U9" s="2"/>
      <c r="V9" s="2">
        <v>0.14000000000000001</v>
      </c>
      <c r="W9" s="84">
        <v>0.14441374899946519</v>
      </c>
      <c r="X9" s="2">
        <v>0.14000000000000001</v>
      </c>
      <c r="Y9" s="2">
        <v>0.13</v>
      </c>
      <c r="Z9" s="69">
        <v>0.13</v>
      </c>
      <c r="AA9" s="2">
        <v>0.25</v>
      </c>
      <c r="AB9" s="2">
        <v>0.14000000000000001</v>
      </c>
      <c r="AC9" s="2">
        <v>0.14000000000000001</v>
      </c>
      <c r="AD9" s="2">
        <v>0.13</v>
      </c>
      <c r="AE9" s="2">
        <v>0.14000000000000001</v>
      </c>
      <c r="AF9" s="2">
        <v>0.14000000000000001</v>
      </c>
      <c r="AG9" s="2">
        <v>0.14000000000000001</v>
      </c>
      <c r="AH9" s="2">
        <v>0.14000000000000001</v>
      </c>
      <c r="AI9" s="2">
        <v>0.14000000000000001</v>
      </c>
      <c r="AJ9" s="2">
        <v>0.25</v>
      </c>
      <c r="AK9" s="2">
        <v>0.14000000000000001</v>
      </c>
      <c r="AL9" s="2">
        <v>0.25</v>
      </c>
      <c r="AM9" s="2">
        <v>0.13</v>
      </c>
      <c r="AN9" s="2">
        <v>0.14000000000000001</v>
      </c>
      <c r="AO9" s="2">
        <v>0.14000000000000001</v>
      </c>
      <c r="AP9" s="2"/>
      <c r="AQ9" s="2">
        <v>0.25</v>
      </c>
      <c r="AR9" s="2">
        <v>0.25</v>
      </c>
      <c r="AS9" s="2">
        <v>0.25</v>
      </c>
      <c r="AT9" s="2">
        <v>0.25</v>
      </c>
      <c r="AU9" s="51">
        <f>0.26*1.074</f>
        <v>0.27924000000000004</v>
      </c>
      <c r="AV9" s="2">
        <v>0.25</v>
      </c>
      <c r="AW9" s="51">
        <f>0.35*1.074</f>
        <v>0.37590000000000001</v>
      </c>
      <c r="AX9" s="55">
        <f>0.13*0.129+0.13</f>
        <v>0.14677000000000001</v>
      </c>
      <c r="AY9" s="2">
        <v>0.25</v>
      </c>
      <c r="AZ9" s="2">
        <v>0.25</v>
      </c>
      <c r="BA9" s="2">
        <v>0.25</v>
      </c>
      <c r="BB9" s="2">
        <v>0.25</v>
      </c>
      <c r="BC9" s="2"/>
      <c r="BD9" s="2">
        <v>0.25</v>
      </c>
      <c r="BE9" s="2">
        <v>0.25</v>
      </c>
      <c r="BF9" s="2">
        <v>0.25</v>
      </c>
      <c r="BG9" s="2">
        <v>0.25</v>
      </c>
      <c r="BH9" s="2">
        <v>0.25</v>
      </c>
      <c r="BI9" s="55">
        <f>0.35*1.074</f>
        <v>0.37590000000000001</v>
      </c>
      <c r="BJ9" s="55">
        <f>0.35*1.075</f>
        <v>0.37624999999999997</v>
      </c>
      <c r="BK9" s="63"/>
      <c r="BL9" s="2"/>
      <c r="BM9" s="2">
        <v>0.25</v>
      </c>
      <c r="BN9" s="2"/>
      <c r="BO9" s="51">
        <f>0.298053*1.074</f>
        <v>0.32010892200000002</v>
      </c>
      <c r="BP9" s="55">
        <f>0.26*1.074</f>
        <v>0.27924000000000004</v>
      </c>
      <c r="BQ9" s="55">
        <f>0.26*1.074</f>
        <v>0.27924000000000004</v>
      </c>
      <c r="BR9" s="55">
        <f>0.26*1.074</f>
        <v>0.27924000000000004</v>
      </c>
      <c r="BS9" s="2">
        <v>0.25</v>
      </c>
      <c r="BT9" s="2">
        <v>0.14000000000000001</v>
      </c>
      <c r="BU9" s="2">
        <v>0.13</v>
      </c>
      <c r="BV9" s="2">
        <v>0.14000000000000001</v>
      </c>
      <c r="BW9" s="2">
        <v>0.14000000000000001</v>
      </c>
      <c r="BX9" s="51">
        <f>0.27*1.074</f>
        <v>0.28998000000000002</v>
      </c>
      <c r="BY9" s="2"/>
      <c r="BZ9" s="2">
        <v>0.14000000000000001</v>
      </c>
      <c r="CA9" s="2">
        <v>0.25</v>
      </c>
      <c r="CB9" s="2">
        <v>0.13</v>
      </c>
      <c r="CC9" s="2">
        <v>0.25</v>
      </c>
      <c r="CD9" s="2">
        <v>0.25</v>
      </c>
      <c r="CE9" s="2">
        <v>0.14000000000000001</v>
      </c>
      <c r="CF9" s="2">
        <v>0.25</v>
      </c>
      <c r="CG9" s="2">
        <v>0.25</v>
      </c>
      <c r="CH9" s="2">
        <v>0.25</v>
      </c>
      <c r="CI9" s="51">
        <f>0.35*1.074</f>
        <v>0.37590000000000001</v>
      </c>
      <c r="CJ9" s="2">
        <v>0.25</v>
      </c>
      <c r="CK9" s="2">
        <v>0.25</v>
      </c>
      <c r="CL9" s="2">
        <v>0.25</v>
      </c>
      <c r="CM9" s="55">
        <f>0.26*1.074</f>
        <v>0.27924000000000004</v>
      </c>
      <c r="CN9" s="2">
        <v>0.25</v>
      </c>
      <c r="CO9" s="2">
        <v>0.14000000000000001</v>
      </c>
      <c r="CP9" s="2">
        <v>0.14000000000000001</v>
      </c>
      <c r="CQ9" s="2">
        <v>0.14000000000000001</v>
      </c>
      <c r="CR9" s="2"/>
      <c r="CS9" s="2">
        <v>0.14000000000000001</v>
      </c>
      <c r="CT9" s="2">
        <v>0.25</v>
      </c>
      <c r="CU9" s="2">
        <v>0.14000000000000001</v>
      </c>
      <c r="CV9" s="2">
        <v>0.25</v>
      </c>
      <c r="CW9" s="2">
        <v>0.14000000000000001</v>
      </c>
      <c r="CX9" s="55">
        <f>0.26*1.074</f>
        <v>0.27924000000000004</v>
      </c>
      <c r="CY9" s="2">
        <v>0.25</v>
      </c>
      <c r="CZ9" s="55">
        <f>0.26*1.074</f>
        <v>0.27924000000000004</v>
      </c>
      <c r="DA9" s="55">
        <f>0.26*1.074</f>
        <v>0.27924000000000004</v>
      </c>
    </row>
    <row r="10" spans="1:105" ht="30" x14ac:dyDescent="0.25">
      <c r="A10" s="9" t="s">
        <v>7</v>
      </c>
      <c r="B10" s="1" t="s">
        <v>8</v>
      </c>
      <c r="C10" s="2">
        <v>0.06</v>
      </c>
      <c r="D10" s="51">
        <f>0.06*1.074</f>
        <v>6.4439999999999997E-2</v>
      </c>
      <c r="E10" s="2">
        <v>0.06</v>
      </c>
      <c r="F10" s="2"/>
      <c r="G10" s="2"/>
      <c r="H10" s="2"/>
      <c r="I10" s="2"/>
      <c r="J10" s="2"/>
      <c r="K10" s="2"/>
      <c r="L10" s="2"/>
      <c r="M10" s="2"/>
      <c r="N10" s="2"/>
      <c r="O10" s="2">
        <v>0.08</v>
      </c>
      <c r="P10" s="2">
        <v>0.06</v>
      </c>
      <c r="Q10" s="2"/>
      <c r="R10" s="2"/>
      <c r="S10" s="2"/>
      <c r="T10" s="2">
        <v>0.06</v>
      </c>
      <c r="U10" s="2"/>
      <c r="V10" s="2">
        <v>0.06</v>
      </c>
      <c r="W10" s="84">
        <v>6.2970469038129542E-2</v>
      </c>
      <c r="X10" s="2">
        <v>0.06</v>
      </c>
      <c r="Y10" s="2">
        <v>0.05</v>
      </c>
      <c r="Z10" s="69">
        <v>0.05</v>
      </c>
      <c r="AA10" s="2">
        <v>0.06</v>
      </c>
      <c r="AB10" s="2">
        <v>0.06</v>
      </c>
      <c r="AC10" s="2">
        <v>0.06</v>
      </c>
      <c r="AD10" s="2">
        <v>0.05</v>
      </c>
      <c r="AE10" s="2">
        <v>0.06</v>
      </c>
      <c r="AF10" s="2">
        <v>0.06</v>
      </c>
      <c r="AG10" s="2">
        <v>0.06</v>
      </c>
      <c r="AH10" s="2">
        <v>0.06</v>
      </c>
      <c r="AI10" s="2">
        <v>0.06</v>
      </c>
      <c r="AJ10" s="2">
        <v>0.06</v>
      </c>
      <c r="AK10" s="2">
        <v>0.06</v>
      </c>
      <c r="AL10" s="2">
        <v>0.06</v>
      </c>
      <c r="AM10" s="2">
        <v>0.05</v>
      </c>
      <c r="AN10" s="2">
        <v>0.06</v>
      </c>
      <c r="AO10" s="2">
        <v>0.06</v>
      </c>
      <c r="AP10" s="2"/>
      <c r="AQ10" s="2">
        <v>0.06</v>
      </c>
      <c r="AR10" s="2">
        <v>0.06</v>
      </c>
      <c r="AS10" s="2">
        <v>0.06</v>
      </c>
      <c r="AT10" s="2">
        <v>0.06</v>
      </c>
      <c r="AU10" s="51">
        <f>0.06*1.074</f>
        <v>6.4439999999999997E-2</v>
      </c>
      <c r="AV10" s="2">
        <v>0.06</v>
      </c>
      <c r="AW10" s="51">
        <f>0.08*1.074</f>
        <v>8.592000000000001E-2</v>
      </c>
      <c r="AX10" s="55">
        <f>0.05*0.129+0.05</f>
        <v>5.645E-2</v>
      </c>
      <c r="AY10" s="2">
        <v>0.06</v>
      </c>
      <c r="AZ10" s="2">
        <v>0.06</v>
      </c>
      <c r="BA10" s="2">
        <v>0.06</v>
      </c>
      <c r="BB10" s="2">
        <v>0.06</v>
      </c>
      <c r="BC10" s="2"/>
      <c r="BD10" s="2">
        <v>0.06</v>
      </c>
      <c r="BE10" s="2">
        <v>0.06</v>
      </c>
      <c r="BF10" s="2">
        <v>0.06</v>
      </c>
      <c r="BG10" s="2">
        <v>0.06</v>
      </c>
      <c r="BH10" s="2">
        <v>0.06</v>
      </c>
      <c r="BI10" s="55">
        <f>0.08*1.074</f>
        <v>8.592000000000001E-2</v>
      </c>
      <c r="BJ10" s="55">
        <f>0.08*1.074</f>
        <v>8.592000000000001E-2</v>
      </c>
      <c r="BK10" s="63"/>
      <c r="BL10" s="2"/>
      <c r="BM10" s="2">
        <v>0.06</v>
      </c>
      <c r="BN10" s="2"/>
      <c r="BO10" s="51">
        <f>0.066234*1.074</f>
        <v>7.1135316000000004E-2</v>
      </c>
      <c r="BP10" s="55">
        <f>0.06*1.074</f>
        <v>6.4439999999999997E-2</v>
      </c>
      <c r="BQ10" s="55">
        <f>0.06*1.074</f>
        <v>6.4439999999999997E-2</v>
      </c>
      <c r="BR10" s="55">
        <f>0.06*1.074</f>
        <v>6.4439999999999997E-2</v>
      </c>
      <c r="BS10" s="2">
        <v>0.06</v>
      </c>
      <c r="BT10" s="2">
        <v>0.06</v>
      </c>
      <c r="BU10" s="2">
        <v>0.05</v>
      </c>
      <c r="BV10" s="2">
        <v>0.06</v>
      </c>
      <c r="BW10" s="2">
        <v>0.06</v>
      </c>
      <c r="BX10" s="51">
        <f>0.06*1.074</f>
        <v>6.4439999999999997E-2</v>
      </c>
      <c r="BY10" s="2"/>
      <c r="BZ10" s="2">
        <v>0.06</v>
      </c>
      <c r="CA10" s="2">
        <v>0.06</v>
      </c>
      <c r="CB10" s="2">
        <v>0.05</v>
      </c>
      <c r="CC10" s="2">
        <v>0.06</v>
      </c>
      <c r="CD10" s="2">
        <v>0.06</v>
      </c>
      <c r="CE10" s="2">
        <v>0.06</v>
      </c>
      <c r="CF10" s="2">
        <v>0.06</v>
      </c>
      <c r="CG10" s="2">
        <v>0.06</v>
      </c>
      <c r="CH10" s="2">
        <v>0.06</v>
      </c>
      <c r="CI10" s="51">
        <f>0.08*1.074</f>
        <v>8.592000000000001E-2</v>
      </c>
      <c r="CJ10" s="2">
        <v>0.06</v>
      </c>
      <c r="CK10" s="2">
        <v>0.06</v>
      </c>
      <c r="CL10" s="2">
        <v>0.06</v>
      </c>
      <c r="CM10" s="55">
        <f>0.06*1.074</f>
        <v>6.4439999999999997E-2</v>
      </c>
      <c r="CN10" s="2">
        <v>0.06</v>
      </c>
      <c r="CO10" s="2">
        <v>0.06</v>
      </c>
      <c r="CP10" s="2">
        <v>0.06</v>
      </c>
      <c r="CQ10" s="2">
        <v>0.06</v>
      </c>
      <c r="CR10" s="2"/>
      <c r="CS10" s="2">
        <v>0.06</v>
      </c>
      <c r="CT10" s="2">
        <v>0.06</v>
      </c>
      <c r="CU10" s="2">
        <v>0.06</v>
      </c>
      <c r="CV10" s="2">
        <v>0.06</v>
      </c>
      <c r="CW10" s="2">
        <v>0.06</v>
      </c>
      <c r="CX10" s="55">
        <f>0.06*1.074</f>
        <v>6.4439999999999997E-2</v>
      </c>
      <c r="CY10" s="2">
        <v>0.06</v>
      </c>
      <c r="CZ10" s="55">
        <f>0.06*1.074</f>
        <v>6.4439999999999997E-2</v>
      </c>
      <c r="DA10" s="55">
        <f>0.06*1.074</f>
        <v>6.4439999999999997E-2</v>
      </c>
    </row>
    <row r="11" spans="1:105" ht="30" x14ac:dyDescent="0.25">
      <c r="A11" s="9" t="s">
        <v>9</v>
      </c>
      <c r="B11" s="1" t="s">
        <v>10</v>
      </c>
      <c r="C11" s="2">
        <v>0.54</v>
      </c>
      <c r="D11" s="51">
        <f>0.58*1.074</f>
        <v>0.62292000000000003</v>
      </c>
      <c r="E11" s="2">
        <v>0.54</v>
      </c>
      <c r="F11" s="2"/>
      <c r="G11" s="2"/>
      <c r="H11" s="2"/>
      <c r="I11" s="2"/>
      <c r="J11" s="2"/>
      <c r="K11" s="2"/>
      <c r="L11" s="2"/>
      <c r="M11" s="2"/>
      <c r="N11" s="2"/>
      <c r="O11" s="2">
        <v>0.63</v>
      </c>
      <c r="P11" s="2">
        <v>0.63</v>
      </c>
      <c r="Q11" s="2"/>
      <c r="R11" s="2"/>
      <c r="S11" s="2"/>
      <c r="T11" s="2">
        <v>0.54</v>
      </c>
      <c r="U11" s="2"/>
      <c r="V11" s="2">
        <v>0.65</v>
      </c>
      <c r="W11" s="84">
        <v>0.65254965338123727</v>
      </c>
      <c r="X11" s="2">
        <v>0.65</v>
      </c>
      <c r="Y11" s="2">
        <v>0.57999999999999996</v>
      </c>
      <c r="Z11" s="69">
        <v>0.57999999999999996</v>
      </c>
      <c r="AA11" s="2">
        <v>0.54</v>
      </c>
      <c r="AB11" s="2">
        <v>0.65</v>
      </c>
      <c r="AC11" s="2">
        <v>0.65</v>
      </c>
      <c r="AD11" s="2">
        <v>0.57999999999999996</v>
      </c>
      <c r="AE11" s="2">
        <v>0.65</v>
      </c>
      <c r="AF11" s="2">
        <v>0.65</v>
      </c>
      <c r="AG11" s="2">
        <v>0.65</v>
      </c>
      <c r="AH11" s="2">
        <v>0.65</v>
      </c>
      <c r="AI11" s="2">
        <v>0.65</v>
      </c>
      <c r="AJ11" s="2">
        <v>0.54</v>
      </c>
      <c r="AK11" s="2">
        <v>0.65</v>
      </c>
      <c r="AL11" s="2">
        <v>0.54</v>
      </c>
      <c r="AM11" s="2">
        <v>0.57999999999999996</v>
      </c>
      <c r="AN11" s="2">
        <v>0.65</v>
      </c>
      <c r="AO11" s="2">
        <v>0.65</v>
      </c>
      <c r="AP11" s="2"/>
      <c r="AQ11" s="2">
        <v>0.54</v>
      </c>
      <c r="AR11" s="2">
        <v>0.54</v>
      </c>
      <c r="AS11" s="2">
        <v>0.54</v>
      </c>
      <c r="AT11" s="2">
        <v>0.54</v>
      </c>
      <c r="AU11" s="51">
        <f>0.56*1.074</f>
        <v>0.60144000000000009</v>
      </c>
      <c r="AV11" s="2">
        <v>0.54</v>
      </c>
      <c r="AW11" s="51">
        <f>0.68*1.074</f>
        <v>0.73032000000000008</v>
      </c>
      <c r="AX11" s="55">
        <f>0.58*0.129+0.58</f>
        <v>0.65481999999999996</v>
      </c>
      <c r="AY11" s="2">
        <v>0.54</v>
      </c>
      <c r="AZ11" s="2">
        <v>0.54</v>
      </c>
      <c r="BA11" s="2">
        <v>0.54</v>
      </c>
      <c r="BB11" s="2">
        <v>0.54</v>
      </c>
      <c r="BC11" s="2"/>
      <c r="BD11" s="2">
        <v>0.54</v>
      </c>
      <c r="BE11" s="2">
        <v>0.54</v>
      </c>
      <c r="BF11" s="2">
        <v>0.54</v>
      </c>
      <c r="BG11" s="2">
        <v>0.54</v>
      </c>
      <c r="BH11" s="2">
        <v>0.54</v>
      </c>
      <c r="BI11" s="55">
        <f>0.68*1.074</f>
        <v>0.73032000000000008</v>
      </c>
      <c r="BJ11" s="55">
        <f>0.68*1.075</f>
        <v>0.73099999999999998</v>
      </c>
      <c r="BK11" s="63"/>
      <c r="BL11" s="2"/>
      <c r="BM11" s="2">
        <v>0.54</v>
      </c>
      <c r="BN11" s="2"/>
      <c r="BO11" s="51">
        <f>0.629223*1.074</f>
        <v>0.67578550199999998</v>
      </c>
      <c r="BP11" s="55">
        <f>0.57*1.074</f>
        <v>0.61217999999999995</v>
      </c>
      <c r="BQ11" s="55">
        <f>0.57*1.074</f>
        <v>0.61217999999999995</v>
      </c>
      <c r="BR11" s="55">
        <f>0.57*1.074</f>
        <v>0.61217999999999995</v>
      </c>
      <c r="BS11" s="2">
        <v>0.54</v>
      </c>
      <c r="BT11" s="2">
        <v>0.65</v>
      </c>
      <c r="BU11" s="2">
        <v>0.57999999999999996</v>
      </c>
      <c r="BV11" s="2">
        <v>0.65</v>
      </c>
      <c r="BW11" s="2">
        <v>0.65</v>
      </c>
      <c r="BX11" s="51">
        <f>0.57*1.074</f>
        <v>0.61217999999999995</v>
      </c>
      <c r="BY11" s="2"/>
      <c r="BZ11" s="2">
        <v>0.65</v>
      </c>
      <c r="CA11" s="2">
        <v>0.54</v>
      </c>
      <c r="CB11" s="2">
        <v>0.57999999999999996</v>
      </c>
      <c r="CC11" s="2">
        <v>0.54</v>
      </c>
      <c r="CD11" s="2">
        <v>0.54</v>
      </c>
      <c r="CE11" s="2">
        <v>0.65</v>
      </c>
      <c r="CF11" s="2">
        <v>0.54</v>
      </c>
      <c r="CG11" s="2">
        <v>0.54</v>
      </c>
      <c r="CH11" s="2">
        <v>0.54</v>
      </c>
      <c r="CI11" s="51">
        <f>0.67*1.074</f>
        <v>0.71958000000000011</v>
      </c>
      <c r="CJ11" s="2">
        <v>0.54</v>
      </c>
      <c r="CK11" s="2">
        <v>0.54</v>
      </c>
      <c r="CL11" s="2">
        <v>0.54</v>
      </c>
      <c r="CM11" s="55">
        <f>0.57*1.074</f>
        <v>0.61217999999999995</v>
      </c>
      <c r="CN11" s="2">
        <v>0.54</v>
      </c>
      <c r="CO11" s="2">
        <v>0.65</v>
      </c>
      <c r="CP11" s="2">
        <v>0.65</v>
      </c>
      <c r="CQ11" s="2">
        <v>0.65</v>
      </c>
      <c r="CR11" s="2"/>
      <c r="CS11" s="2">
        <v>0.65</v>
      </c>
      <c r="CT11" s="2">
        <v>0.54</v>
      </c>
      <c r="CU11" s="2">
        <v>0.65</v>
      </c>
      <c r="CV11" s="2">
        <v>0.54</v>
      </c>
      <c r="CW11" s="2">
        <v>0.65</v>
      </c>
      <c r="CX11" s="55">
        <f>0.57*1.074</f>
        <v>0.61217999999999995</v>
      </c>
      <c r="CY11" s="2">
        <v>0.54</v>
      </c>
      <c r="CZ11" s="55">
        <f>0.57*1.074</f>
        <v>0.61217999999999995</v>
      </c>
      <c r="DA11" s="55">
        <f>0.57*1.074</f>
        <v>0.61217999999999995</v>
      </c>
    </row>
    <row r="12" spans="1:105" ht="45" x14ac:dyDescent="0.25">
      <c r="A12" s="9" t="s">
        <v>44</v>
      </c>
      <c r="B12" s="1" t="s">
        <v>12</v>
      </c>
      <c r="C12" s="2">
        <v>0.04</v>
      </c>
      <c r="D12" s="51">
        <f>0.04*1.074</f>
        <v>4.2960000000000005E-2</v>
      </c>
      <c r="E12" s="2">
        <v>0.04</v>
      </c>
      <c r="F12" s="2"/>
      <c r="G12" s="2"/>
      <c r="H12" s="2"/>
      <c r="I12" s="2"/>
      <c r="J12" s="2"/>
      <c r="K12" s="2"/>
      <c r="L12" s="2"/>
      <c r="M12" s="2"/>
      <c r="N12" s="2"/>
      <c r="O12" s="2">
        <v>0.01</v>
      </c>
      <c r="P12" s="2">
        <v>0.04</v>
      </c>
      <c r="Q12" s="2"/>
      <c r="R12" s="2"/>
      <c r="S12" s="2"/>
      <c r="T12" s="2">
        <v>0.04</v>
      </c>
      <c r="U12" s="2"/>
      <c r="V12" s="2">
        <v>0.05</v>
      </c>
      <c r="W12" s="84">
        <v>4.5725230999803718E-2</v>
      </c>
      <c r="X12" s="2">
        <v>0.05</v>
      </c>
      <c r="Y12" s="2">
        <v>0.04</v>
      </c>
      <c r="Z12" s="69">
        <v>0.04</v>
      </c>
      <c r="AA12" s="2">
        <v>0.04</v>
      </c>
      <c r="AB12" s="2">
        <v>0.05</v>
      </c>
      <c r="AC12" s="2">
        <v>0.05</v>
      </c>
      <c r="AD12" s="2">
        <v>0.04</v>
      </c>
      <c r="AE12" s="2">
        <v>0.05</v>
      </c>
      <c r="AF12" s="2">
        <v>0.05</v>
      </c>
      <c r="AG12" s="2">
        <v>0.05</v>
      </c>
      <c r="AH12" s="2">
        <v>0.05</v>
      </c>
      <c r="AI12" s="2">
        <v>0.05</v>
      </c>
      <c r="AJ12" s="2">
        <v>0.04</v>
      </c>
      <c r="AK12" s="2">
        <v>0.05</v>
      </c>
      <c r="AL12" s="2">
        <v>0.04</v>
      </c>
      <c r="AM12" s="2">
        <v>0.04</v>
      </c>
      <c r="AN12" s="2">
        <v>0.05</v>
      </c>
      <c r="AO12" s="2">
        <v>0.05</v>
      </c>
      <c r="AP12" s="2"/>
      <c r="AQ12" s="2">
        <v>0.04</v>
      </c>
      <c r="AR12" s="2">
        <v>0.04</v>
      </c>
      <c r="AS12" s="2">
        <v>0.04</v>
      </c>
      <c r="AT12" s="2">
        <v>0.04</v>
      </c>
      <c r="AU12" s="51">
        <f>0.04*1.074</f>
        <v>4.2960000000000005E-2</v>
      </c>
      <c r="AV12" s="2">
        <v>0.04</v>
      </c>
      <c r="AW12" s="51">
        <v>0</v>
      </c>
      <c r="AX12" s="55">
        <f>0.04*0.129+0.04</f>
        <v>4.5159999999999999E-2</v>
      </c>
      <c r="AY12" s="2">
        <v>0.04</v>
      </c>
      <c r="AZ12" s="2">
        <v>0.04</v>
      </c>
      <c r="BA12" s="2">
        <v>0.04</v>
      </c>
      <c r="BB12" s="2">
        <v>0.04</v>
      </c>
      <c r="BC12" s="2"/>
      <c r="BD12" s="2">
        <v>0.04</v>
      </c>
      <c r="BE12" s="2">
        <v>0.04</v>
      </c>
      <c r="BF12" s="2">
        <v>0.04</v>
      </c>
      <c r="BG12" s="2">
        <v>0.04</v>
      </c>
      <c r="BH12" s="2">
        <v>0.04</v>
      </c>
      <c r="BI12" s="55">
        <f>0.06*1.074</f>
        <v>6.4439999999999997E-2</v>
      </c>
      <c r="BJ12" s="55">
        <f>0.06*1.074</f>
        <v>6.4439999999999997E-2</v>
      </c>
      <c r="BK12" s="63"/>
      <c r="BL12" s="2"/>
      <c r="BM12" s="2">
        <v>0.04</v>
      </c>
      <c r="BN12" s="2"/>
      <c r="BO12" s="51">
        <f>0.044156*1.074</f>
        <v>4.7423544000000005E-2</v>
      </c>
      <c r="BP12" s="55">
        <f>0.04*1.074</f>
        <v>4.2960000000000005E-2</v>
      </c>
      <c r="BQ12" s="55">
        <f>0.04*1.074</f>
        <v>4.2960000000000005E-2</v>
      </c>
      <c r="BR12" s="55">
        <f>0.04*1.074</f>
        <v>4.2960000000000005E-2</v>
      </c>
      <c r="BS12" s="2">
        <v>0.04</v>
      </c>
      <c r="BT12" s="2">
        <v>0.05</v>
      </c>
      <c r="BU12" s="2">
        <v>0.04</v>
      </c>
      <c r="BV12" s="2">
        <v>0.05</v>
      </c>
      <c r="BW12" s="2">
        <v>0.05</v>
      </c>
      <c r="BX12" s="51">
        <f>0.0001*1.074</f>
        <v>1.0740000000000001E-4</v>
      </c>
      <c r="BY12" s="2"/>
      <c r="BZ12" s="2">
        <v>0.05</v>
      </c>
      <c r="CA12" s="2">
        <v>0.04</v>
      </c>
      <c r="CB12" s="2">
        <v>0.04</v>
      </c>
      <c r="CC12" s="2">
        <v>0.04</v>
      </c>
      <c r="CD12" s="2">
        <v>0.04</v>
      </c>
      <c r="CE12" s="2">
        <v>0.05</v>
      </c>
      <c r="CF12" s="2">
        <v>0.04</v>
      </c>
      <c r="CG12" s="2">
        <v>0.04</v>
      </c>
      <c r="CH12" s="2">
        <v>0.04</v>
      </c>
      <c r="CI12" s="51">
        <f>0.06*1.074</f>
        <v>6.4439999999999997E-2</v>
      </c>
      <c r="CJ12" s="2">
        <v>0.04</v>
      </c>
      <c r="CK12" s="2">
        <v>0.04</v>
      </c>
      <c r="CL12" s="2">
        <v>0.04</v>
      </c>
      <c r="CM12" s="55">
        <f>0.04*1.074</f>
        <v>4.2960000000000005E-2</v>
      </c>
      <c r="CN12" s="2">
        <v>0.04</v>
      </c>
      <c r="CO12" s="2">
        <v>0.05</v>
      </c>
      <c r="CP12" s="2">
        <v>0.05</v>
      </c>
      <c r="CQ12" s="2">
        <v>0.05</v>
      </c>
      <c r="CR12" s="2"/>
      <c r="CS12" s="2">
        <v>0.05</v>
      </c>
      <c r="CT12" s="2">
        <v>0.04</v>
      </c>
      <c r="CU12" s="2">
        <v>0.05</v>
      </c>
      <c r="CV12" s="2">
        <v>0.04</v>
      </c>
      <c r="CW12" s="2">
        <v>0.05</v>
      </c>
      <c r="CX12" s="55">
        <f>0.04*1.074</f>
        <v>4.2960000000000005E-2</v>
      </c>
      <c r="CY12" s="2">
        <v>0.04</v>
      </c>
      <c r="CZ12" s="55">
        <f>0.04*1.074</f>
        <v>4.2960000000000005E-2</v>
      </c>
      <c r="DA12" s="55">
        <f>0.04*1.074</f>
        <v>4.2960000000000005E-2</v>
      </c>
    </row>
    <row r="13" spans="1:105" ht="45" hidden="1" customHeight="1" x14ac:dyDescent="0.25">
      <c r="A13" s="9" t="s">
        <v>11</v>
      </c>
      <c r="B13" s="1" t="s">
        <v>14</v>
      </c>
      <c r="C13" s="2">
        <v>0</v>
      </c>
      <c r="D13" s="51">
        <v>0</v>
      </c>
      <c r="E13" s="2">
        <v>0</v>
      </c>
      <c r="F13" s="2"/>
      <c r="G13" s="2"/>
      <c r="H13" s="2"/>
      <c r="I13" s="2"/>
      <c r="J13" s="2"/>
      <c r="K13" s="2"/>
      <c r="L13" s="2"/>
      <c r="M13" s="2"/>
      <c r="N13" s="2"/>
      <c r="O13" s="2">
        <v>0</v>
      </c>
      <c r="P13" s="2">
        <v>0</v>
      </c>
      <c r="Q13" s="2"/>
      <c r="R13" s="2"/>
      <c r="S13" s="2"/>
      <c r="T13" s="2">
        <v>0</v>
      </c>
      <c r="U13" s="2"/>
      <c r="V13" s="2">
        <v>0</v>
      </c>
      <c r="W13" s="89">
        <v>3.3753521785229888E-3</v>
      </c>
      <c r="X13" s="2">
        <v>0</v>
      </c>
      <c r="Y13" s="2"/>
      <c r="Z13" s="69">
        <v>0</v>
      </c>
      <c r="AA13" s="2">
        <v>0</v>
      </c>
      <c r="AB13" s="2">
        <v>0</v>
      </c>
      <c r="AC13" s="2">
        <v>0</v>
      </c>
      <c r="AD13" s="2"/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/>
      <c r="AN13" s="2">
        <v>0</v>
      </c>
      <c r="AO13" s="2">
        <v>0</v>
      </c>
      <c r="AP13" s="2"/>
      <c r="AQ13" s="2">
        <v>0</v>
      </c>
      <c r="AR13" s="2">
        <v>0</v>
      </c>
      <c r="AS13" s="2">
        <v>0</v>
      </c>
      <c r="AT13" s="2">
        <v>0</v>
      </c>
      <c r="AU13" s="51">
        <v>0</v>
      </c>
      <c r="AV13" s="2">
        <v>0</v>
      </c>
      <c r="AW13" s="51">
        <v>0.06</v>
      </c>
      <c r="AX13" s="55">
        <v>0</v>
      </c>
      <c r="AY13" s="2">
        <v>0</v>
      </c>
      <c r="AZ13" s="2">
        <v>0</v>
      </c>
      <c r="BA13" s="2">
        <v>0</v>
      </c>
      <c r="BB13" s="2">
        <v>0</v>
      </c>
      <c r="BC13" s="2"/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55"/>
      <c r="BJ13" s="55">
        <v>0.06</v>
      </c>
      <c r="BK13" s="63"/>
      <c r="BL13" s="2"/>
      <c r="BM13" s="2">
        <v>0</v>
      </c>
      <c r="BN13" s="2"/>
      <c r="BO13" s="51"/>
      <c r="BP13" s="55">
        <v>0</v>
      </c>
      <c r="BQ13" s="55">
        <v>0</v>
      </c>
      <c r="BR13" s="55">
        <v>0</v>
      </c>
      <c r="BS13" s="2">
        <v>0</v>
      </c>
      <c r="BT13" s="2">
        <v>0</v>
      </c>
      <c r="BU13" s="2"/>
      <c r="BV13" s="2">
        <v>0</v>
      </c>
      <c r="BW13" s="2">
        <v>0</v>
      </c>
      <c r="BX13" s="2">
        <v>0.04</v>
      </c>
      <c r="BY13" s="2"/>
      <c r="BZ13" s="2">
        <v>0</v>
      </c>
      <c r="CA13" s="2">
        <v>0</v>
      </c>
      <c r="CB13" s="2"/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51">
        <v>0.06</v>
      </c>
      <c r="CJ13" s="2">
        <v>0</v>
      </c>
      <c r="CK13" s="2">
        <v>0</v>
      </c>
      <c r="CL13" s="2">
        <v>0</v>
      </c>
      <c r="CM13" s="55">
        <v>0</v>
      </c>
      <c r="CN13" s="2">
        <v>0</v>
      </c>
      <c r="CO13" s="2">
        <v>0</v>
      </c>
      <c r="CP13" s="2">
        <v>0</v>
      </c>
      <c r="CQ13" s="2">
        <v>0</v>
      </c>
      <c r="CR13" s="2"/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55">
        <v>0</v>
      </c>
      <c r="CY13" s="2">
        <v>0</v>
      </c>
      <c r="CZ13" s="55">
        <v>0</v>
      </c>
      <c r="DA13" s="55">
        <v>0</v>
      </c>
    </row>
    <row r="14" spans="1:105" ht="30" x14ac:dyDescent="0.25">
      <c r="A14" s="9" t="s">
        <v>11</v>
      </c>
      <c r="B14" s="1" t="s">
        <v>202</v>
      </c>
      <c r="C14" s="2"/>
      <c r="D14" s="5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3.0000000000000001E-3</v>
      </c>
      <c r="W14" s="2">
        <v>3.0000000000000001E-3</v>
      </c>
      <c r="X14" s="2">
        <v>3.0000000000000001E-3</v>
      </c>
      <c r="Y14" s="2">
        <v>0</v>
      </c>
      <c r="Z14" s="69"/>
      <c r="AA14" s="2"/>
      <c r="AB14" s="2">
        <v>3.0000000000000001E-3</v>
      </c>
      <c r="AC14" s="2">
        <v>3.0000000000000001E-3</v>
      </c>
      <c r="AD14" s="2">
        <v>0</v>
      </c>
      <c r="AE14" s="2">
        <v>3.0000000000000001E-3</v>
      </c>
      <c r="AF14" s="2">
        <v>3.0000000000000001E-3</v>
      </c>
      <c r="AG14" s="2">
        <v>3.0000000000000001E-3</v>
      </c>
      <c r="AH14" s="2">
        <v>3.0000000000000001E-3</v>
      </c>
      <c r="AI14" s="2">
        <v>3.0000000000000001E-3</v>
      </c>
      <c r="AJ14" s="2"/>
      <c r="AK14" s="2">
        <v>3.0000000000000001E-3</v>
      </c>
      <c r="AL14" s="2"/>
      <c r="AM14" s="2">
        <v>0</v>
      </c>
      <c r="AN14" s="2">
        <v>3.0000000000000001E-3</v>
      </c>
      <c r="AO14" s="2">
        <v>3.0000000000000001E-3</v>
      </c>
      <c r="AP14" s="2"/>
      <c r="AQ14" s="2"/>
      <c r="AR14" s="2"/>
      <c r="AS14" s="2"/>
      <c r="AT14" s="2"/>
      <c r="AU14" s="52"/>
      <c r="AV14" s="2"/>
      <c r="AW14" s="51"/>
      <c r="AX14" s="55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55"/>
      <c r="BJ14" s="55"/>
      <c r="BK14" s="63"/>
      <c r="BL14" s="2"/>
      <c r="BM14" s="2"/>
      <c r="BN14" s="2"/>
      <c r="BO14" s="51">
        <f>0.0033117*1.074</f>
        <v>3.5567658000000002E-3</v>
      </c>
      <c r="BP14" s="98"/>
      <c r="BQ14" s="98"/>
      <c r="BR14" s="98"/>
      <c r="BS14" s="2"/>
      <c r="BT14" s="2">
        <v>3.0000000000000001E-3</v>
      </c>
      <c r="BU14" s="2">
        <v>0</v>
      </c>
      <c r="BV14" s="2">
        <v>3.0000000000000001E-3</v>
      </c>
      <c r="BW14" s="2">
        <v>3.0000000000000001E-3</v>
      </c>
      <c r="BX14" s="2"/>
      <c r="BY14" s="2"/>
      <c r="BZ14" s="2">
        <v>3.0000000000000001E-3</v>
      </c>
      <c r="CA14" s="2"/>
      <c r="CB14" s="2">
        <v>0</v>
      </c>
      <c r="CC14" s="2"/>
      <c r="CD14" s="2"/>
      <c r="CE14" s="2">
        <v>3.0000000000000001E-3</v>
      </c>
      <c r="CF14" s="2"/>
      <c r="CG14" s="2"/>
      <c r="CH14" s="2"/>
      <c r="CI14" s="51"/>
      <c r="CJ14" s="2"/>
      <c r="CK14" s="2"/>
      <c r="CL14" s="2"/>
      <c r="CM14" s="98"/>
      <c r="CN14" s="2"/>
      <c r="CO14" s="2">
        <v>3.0000000000000001E-3</v>
      </c>
      <c r="CP14" s="2">
        <v>3.0000000000000001E-3</v>
      </c>
      <c r="CQ14" s="2">
        <v>3.0000000000000001E-3</v>
      </c>
      <c r="CR14" s="2"/>
      <c r="CS14" s="2">
        <v>3.0000000000000001E-3</v>
      </c>
      <c r="CT14" s="2"/>
      <c r="CU14" s="2">
        <v>3.0000000000000001E-3</v>
      </c>
      <c r="CV14" s="2"/>
      <c r="CW14" s="2">
        <v>3.0000000000000001E-3</v>
      </c>
      <c r="CX14" s="98"/>
      <c r="CY14" s="2"/>
      <c r="CZ14" s="98"/>
      <c r="DA14" s="98"/>
    </row>
    <row r="15" spans="1:105" ht="60" x14ac:dyDescent="0.25">
      <c r="A15" s="9" t="s">
        <v>13</v>
      </c>
      <c r="B15" s="1" t="s">
        <v>16</v>
      </c>
      <c r="C15" s="2">
        <v>7.0000000000000007E-2</v>
      </c>
      <c r="D15" s="51">
        <f>0.08*1.074</f>
        <v>8.592000000000001E-2</v>
      </c>
      <c r="E15" s="2">
        <v>7.0000000000000007E-2</v>
      </c>
      <c r="F15" s="2"/>
      <c r="G15" s="2"/>
      <c r="H15" s="2"/>
      <c r="I15" s="2"/>
      <c r="J15" s="2"/>
      <c r="K15" s="2"/>
      <c r="L15" s="2"/>
      <c r="M15" s="2"/>
      <c r="N15" s="2"/>
      <c r="O15" s="2">
        <v>0.01</v>
      </c>
      <c r="P15" s="2">
        <v>0.36</v>
      </c>
      <c r="Q15" s="2"/>
      <c r="R15" s="2"/>
      <c r="S15" s="2"/>
      <c r="T15" s="2">
        <v>7.0000000000000007E-2</v>
      </c>
      <c r="U15" s="2"/>
      <c r="V15" s="2">
        <v>0.26</v>
      </c>
      <c r="W15" s="84">
        <v>0.26485774946363361</v>
      </c>
      <c r="X15" s="2">
        <v>0.26</v>
      </c>
      <c r="Y15" s="2">
        <v>0.24</v>
      </c>
      <c r="Z15" s="69">
        <v>0.24</v>
      </c>
      <c r="AA15" s="2">
        <v>7.0000000000000007E-2</v>
      </c>
      <c r="AB15" s="2">
        <v>0.26</v>
      </c>
      <c r="AC15" s="2">
        <v>0.26</v>
      </c>
      <c r="AD15" s="2">
        <v>0.24</v>
      </c>
      <c r="AE15" s="2">
        <v>0.26</v>
      </c>
      <c r="AF15" s="2">
        <v>0.26</v>
      </c>
      <c r="AG15" s="2">
        <v>0.26</v>
      </c>
      <c r="AH15" s="2">
        <v>0.26</v>
      </c>
      <c r="AI15" s="2">
        <v>0.26</v>
      </c>
      <c r="AJ15" s="2">
        <v>7.0000000000000007E-2</v>
      </c>
      <c r="AK15" s="2">
        <v>0.26</v>
      </c>
      <c r="AL15" s="2">
        <v>7.0000000000000007E-2</v>
      </c>
      <c r="AM15" s="2">
        <v>0.24</v>
      </c>
      <c r="AN15" s="2">
        <v>0.26</v>
      </c>
      <c r="AO15" s="2">
        <v>0.26</v>
      </c>
      <c r="AP15" s="2"/>
      <c r="AQ15" s="2">
        <v>7.0000000000000007E-2</v>
      </c>
      <c r="AR15" s="2">
        <v>7.0000000000000007E-2</v>
      </c>
      <c r="AS15" s="2">
        <v>7.0000000000000007E-2</v>
      </c>
      <c r="AT15" s="2">
        <v>7.0000000000000007E-2</v>
      </c>
      <c r="AU15" s="51">
        <f>0.07*1.074</f>
        <v>7.5180000000000011E-2</v>
      </c>
      <c r="AV15" s="2">
        <v>7.0000000000000007E-2</v>
      </c>
      <c r="AW15" s="51">
        <f>0.06*1.074</f>
        <v>6.4439999999999997E-2</v>
      </c>
      <c r="AX15" s="55">
        <f>0.24*0.129+0.24</f>
        <v>0.27095999999999998</v>
      </c>
      <c r="AY15" s="2">
        <v>7.0000000000000007E-2</v>
      </c>
      <c r="AZ15" s="2">
        <v>7.0000000000000007E-2</v>
      </c>
      <c r="BA15" s="2">
        <v>7.0000000000000007E-2</v>
      </c>
      <c r="BB15" s="2">
        <v>7.0000000000000007E-2</v>
      </c>
      <c r="BC15" s="2"/>
      <c r="BD15" s="2">
        <v>7.0000000000000007E-2</v>
      </c>
      <c r="BE15" s="2">
        <v>7.0000000000000007E-2</v>
      </c>
      <c r="BF15" s="2">
        <v>7.0000000000000007E-2</v>
      </c>
      <c r="BG15" s="2">
        <v>7.0000000000000007E-2</v>
      </c>
      <c r="BH15" s="2">
        <v>7.0000000000000007E-2</v>
      </c>
      <c r="BI15" s="55">
        <f>0.06*1.074</f>
        <v>6.4439999999999997E-2</v>
      </c>
      <c r="BJ15" s="55">
        <f>0.06*1.075</f>
        <v>6.4500000000000002E-2</v>
      </c>
      <c r="BK15" s="63"/>
      <c r="BL15" s="2"/>
      <c r="BM15" s="2">
        <v>7.0000000000000007E-2</v>
      </c>
      <c r="BN15" s="2"/>
      <c r="BO15" s="51">
        <f>0.077273*1.074</f>
        <v>8.2991202E-2</v>
      </c>
      <c r="BP15" s="55">
        <f>0.07*1.074</f>
        <v>7.5180000000000011E-2</v>
      </c>
      <c r="BQ15" s="55">
        <f>0.07*1.074</f>
        <v>7.5180000000000011E-2</v>
      </c>
      <c r="BR15" s="55">
        <f>0.07*1.074</f>
        <v>7.5180000000000011E-2</v>
      </c>
      <c r="BS15" s="2">
        <v>7.0000000000000007E-2</v>
      </c>
      <c r="BT15" s="2">
        <v>0.26</v>
      </c>
      <c r="BU15" s="2">
        <v>0.24</v>
      </c>
      <c r="BV15" s="2">
        <v>0.26</v>
      </c>
      <c r="BW15" s="2">
        <v>0.26</v>
      </c>
      <c r="BX15" s="2">
        <v>0</v>
      </c>
      <c r="BY15" s="2"/>
      <c r="BZ15" s="2">
        <v>0.26</v>
      </c>
      <c r="CA15" s="2">
        <v>7.0000000000000007E-2</v>
      </c>
      <c r="CB15" s="2">
        <v>0.24</v>
      </c>
      <c r="CC15" s="2">
        <v>7.0000000000000007E-2</v>
      </c>
      <c r="CD15" s="2">
        <v>7.0000000000000007E-2</v>
      </c>
      <c r="CE15" s="2">
        <v>0.26</v>
      </c>
      <c r="CF15" s="2">
        <v>7.0000000000000007E-2</v>
      </c>
      <c r="CG15" s="2">
        <v>7.0000000000000007E-2</v>
      </c>
      <c r="CH15" s="2">
        <v>7.0000000000000007E-2</v>
      </c>
      <c r="CI15" s="51">
        <f>0.06*1.074</f>
        <v>6.4439999999999997E-2</v>
      </c>
      <c r="CJ15" s="2">
        <v>7.0000000000000007E-2</v>
      </c>
      <c r="CK15" s="2">
        <v>7.0000000000000007E-2</v>
      </c>
      <c r="CL15" s="2">
        <v>7.0000000000000007E-2</v>
      </c>
      <c r="CM15" s="55">
        <f>0.07*1.074</f>
        <v>7.5180000000000011E-2</v>
      </c>
      <c r="CN15" s="2">
        <v>7.0000000000000007E-2</v>
      </c>
      <c r="CO15" s="2">
        <v>0.26</v>
      </c>
      <c r="CP15" s="2">
        <v>0.26</v>
      </c>
      <c r="CQ15" s="2">
        <v>0.26</v>
      </c>
      <c r="CR15" s="2"/>
      <c r="CS15" s="2">
        <v>0.26</v>
      </c>
      <c r="CT15" s="2">
        <v>7.0000000000000007E-2</v>
      </c>
      <c r="CU15" s="2">
        <v>0.26</v>
      </c>
      <c r="CV15" s="2">
        <v>7.0000000000000007E-2</v>
      </c>
      <c r="CW15" s="2">
        <v>0.26</v>
      </c>
      <c r="CX15" s="55">
        <f>0.07*1.074</f>
        <v>7.5180000000000011E-2</v>
      </c>
      <c r="CY15" s="2">
        <v>7.0000000000000007E-2</v>
      </c>
      <c r="CZ15" s="55">
        <f>0.07*1.074</f>
        <v>7.5180000000000011E-2</v>
      </c>
      <c r="DA15" s="55">
        <f>0.07*1.074</f>
        <v>7.5180000000000011E-2</v>
      </c>
    </row>
    <row r="16" spans="1:105" ht="30" x14ac:dyDescent="0.25">
      <c r="A16" s="9" t="s">
        <v>15</v>
      </c>
      <c r="B16" s="1" t="s">
        <v>17</v>
      </c>
      <c r="C16" s="2">
        <v>0.06</v>
      </c>
      <c r="D16" s="51">
        <f>0.06*1.074</f>
        <v>6.4439999999999997E-2</v>
      </c>
      <c r="E16" s="2">
        <v>0.06</v>
      </c>
      <c r="F16" s="2"/>
      <c r="G16" s="2"/>
      <c r="H16" s="2"/>
      <c r="I16" s="2"/>
      <c r="J16" s="2"/>
      <c r="K16" s="2"/>
      <c r="L16" s="2"/>
      <c r="M16" s="2"/>
      <c r="N16" s="2"/>
      <c r="O16" s="2">
        <v>0.01</v>
      </c>
      <c r="P16" s="2">
        <v>0</v>
      </c>
      <c r="Q16" s="2"/>
      <c r="R16" s="2"/>
      <c r="S16" s="2"/>
      <c r="T16" s="2">
        <v>0.06</v>
      </c>
      <c r="U16" s="2"/>
      <c r="V16" s="2">
        <v>7.0000000000000007E-2</v>
      </c>
      <c r="W16" s="84">
        <v>7.2158965525805377E-2</v>
      </c>
      <c r="X16" s="2">
        <v>7.0000000000000007E-2</v>
      </c>
      <c r="Y16" s="2">
        <v>0.06</v>
      </c>
      <c r="Z16" s="69">
        <v>0.06</v>
      </c>
      <c r="AA16" s="2">
        <v>0.06</v>
      </c>
      <c r="AB16" s="2">
        <v>7.0000000000000007E-2</v>
      </c>
      <c r="AC16" s="2">
        <v>7.0000000000000007E-2</v>
      </c>
      <c r="AD16" s="2">
        <v>0.06</v>
      </c>
      <c r="AE16" s="2">
        <v>7.0000000000000007E-2</v>
      </c>
      <c r="AF16" s="2">
        <v>7.0000000000000007E-2</v>
      </c>
      <c r="AG16" s="2">
        <v>7.0000000000000007E-2</v>
      </c>
      <c r="AH16" s="2">
        <v>7.0000000000000007E-2</v>
      </c>
      <c r="AI16" s="2">
        <v>7.0000000000000007E-2</v>
      </c>
      <c r="AJ16" s="2">
        <v>0.06</v>
      </c>
      <c r="AK16" s="2">
        <v>7.0000000000000007E-2</v>
      </c>
      <c r="AL16" s="2">
        <v>0.06</v>
      </c>
      <c r="AM16" s="2">
        <v>0.06</v>
      </c>
      <c r="AN16" s="2">
        <v>7.0000000000000007E-2</v>
      </c>
      <c r="AO16" s="2">
        <v>7.0000000000000007E-2</v>
      </c>
      <c r="AP16" s="2"/>
      <c r="AQ16" s="2">
        <v>0.06</v>
      </c>
      <c r="AR16" s="2">
        <v>0.06</v>
      </c>
      <c r="AS16" s="2">
        <v>0.06</v>
      </c>
      <c r="AT16" s="2">
        <v>0.06</v>
      </c>
      <c r="AU16" s="51">
        <f>0.06*1.074</f>
        <v>6.4439999999999997E-2</v>
      </c>
      <c r="AV16" s="2">
        <v>0.06</v>
      </c>
      <c r="AW16" s="51">
        <f>0.08*1.074</f>
        <v>8.592000000000001E-2</v>
      </c>
      <c r="AX16" s="55">
        <f>0.06*0.129+0.06</f>
        <v>6.7739999999999995E-2</v>
      </c>
      <c r="AY16" s="2">
        <v>0.06</v>
      </c>
      <c r="AZ16" s="2">
        <v>0.06</v>
      </c>
      <c r="BA16" s="2">
        <v>0.06</v>
      </c>
      <c r="BB16" s="2">
        <v>0.06</v>
      </c>
      <c r="BC16" s="2"/>
      <c r="BD16" s="2">
        <v>0.06</v>
      </c>
      <c r="BE16" s="2">
        <v>0.06</v>
      </c>
      <c r="BF16" s="2">
        <v>0.06</v>
      </c>
      <c r="BG16" s="2">
        <v>0.06</v>
      </c>
      <c r="BH16" s="2">
        <v>0.06</v>
      </c>
      <c r="BI16" s="55">
        <f>0.08*1.074</f>
        <v>8.592000000000001E-2</v>
      </c>
      <c r="BJ16" s="55">
        <f>0.08*1.075</f>
        <v>8.5999999999999993E-2</v>
      </c>
      <c r="BK16" s="63"/>
      <c r="BL16" s="2"/>
      <c r="BM16" s="2">
        <v>0.06</v>
      </c>
      <c r="BN16" s="2"/>
      <c r="BO16" s="51">
        <f>0.077273*1.074</f>
        <v>8.2991202E-2</v>
      </c>
      <c r="BP16" s="55">
        <f>0.06*1.074</f>
        <v>6.4439999999999997E-2</v>
      </c>
      <c r="BQ16" s="55">
        <f>0.06*1.074</f>
        <v>6.4439999999999997E-2</v>
      </c>
      <c r="BR16" s="55">
        <f>0.06*1.074</f>
        <v>6.4439999999999997E-2</v>
      </c>
      <c r="BS16" s="2">
        <v>0.06</v>
      </c>
      <c r="BT16" s="2">
        <v>7.0000000000000007E-2</v>
      </c>
      <c r="BU16" s="2">
        <v>0.06</v>
      </c>
      <c r="BV16" s="2">
        <v>7.0000000000000007E-2</v>
      </c>
      <c r="BW16" s="2">
        <v>7.0000000000000007E-2</v>
      </c>
      <c r="BX16" s="51">
        <f>0.07*1.074</f>
        <v>7.5180000000000011E-2</v>
      </c>
      <c r="BY16" s="2"/>
      <c r="BZ16" s="2">
        <v>7.0000000000000007E-2</v>
      </c>
      <c r="CA16" s="2">
        <v>0.06</v>
      </c>
      <c r="CB16" s="2">
        <v>0.06</v>
      </c>
      <c r="CC16" s="2">
        <v>0.06</v>
      </c>
      <c r="CD16" s="2">
        <v>0.06</v>
      </c>
      <c r="CE16" s="2">
        <v>7.0000000000000007E-2</v>
      </c>
      <c r="CF16" s="2">
        <v>0.06</v>
      </c>
      <c r="CG16" s="2">
        <v>0.06</v>
      </c>
      <c r="CH16" s="2">
        <v>0.06</v>
      </c>
      <c r="CI16" s="51">
        <f>0.08*1.074</f>
        <v>8.592000000000001E-2</v>
      </c>
      <c r="CJ16" s="2">
        <v>0.06</v>
      </c>
      <c r="CK16" s="2">
        <v>0.06</v>
      </c>
      <c r="CL16" s="2">
        <v>0.06</v>
      </c>
      <c r="CM16" s="55">
        <f>0.06*1.074</f>
        <v>6.4439999999999997E-2</v>
      </c>
      <c r="CN16" s="2">
        <v>0.06</v>
      </c>
      <c r="CO16" s="2">
        <v>7.0000000000000007E-2</v>
      </c>
      <c r="CP16" s="2">
        <v>7.0000000000000007E-2</v>
      </c>
      <c r="CQ16" s="2">
        <v>7.0000000000000007E-2</v>
      </c>
      <c r="CR16" s="2"/>
      <c r="CS16" s="2">
        <v>7.0000000000000007E-2</v>
      </c>
      <c r="CT16" s="2">
        <v>0.06</v>
      </c>
      <c r="CU16" s="2">
        <v>7.0000000000000007E-2</v>
      </c>
      <c r="CV16" s="2">
        <v>0.06</v>
      </c>
      <c r="CW16" s="2">
        <v>7.0000000000000007E-2</v>
      </c>
      <c r="CX16" s="55">
        <f>0.06*1.074</f>
        <v>6.4439999999999997E-2</v>
      </c>
      <c r="CY16" s="2">
        <v>0.06</v>
      </c>
      <c r="CZ16" s="55">
        <f>0.06*1.074</f>
        <v>6.4439999999999997E-2</v>
      </c>
      <c r="DA16" s="55">
        <f>0.06*1.074</f>
        <v>6.4439999999999997E-2</v>
      </c>
    </row>
    <row r="17" spans="1:105" ht="42.75" x14ac:dyDescent="0.25">
      <c r="A17" s="10" t="s">
        <v>45</v>
      </c>
      <c r="B17" s="7" t="s">
        <v>51</v>
      </c>
      <c r="C17" s="5">
        <f>C18+C22</f>
        <v>3.6</v>
      </c>
      <c r="D17" s="16">
        <f>D18+D22</f>
        <v>4.1563800000000004</v>
      </c>
      <c r="E17" s="5">
        <f>E18+E22</f>
        <v>3.6</v>
      </c>
      <c r="F17" s="5">
        <v>4.6900000000000004</v>
      </c>
      <c r="G17" s="5">
        <v>4.6900000000000004</v>
      </c>
      <c r="H17" s="5">
        <v>4.6900000000000004</v>
      </c>
      <c r="I17" s="5">
        <v>4.6900000000000004</v>
      </c>
      <c r="J17" s="5">
        <v>4.6900000000000004</v>
      </c>
      <c r="K17" s="5">
        <v>4.6900000000000004</v>
      </c>
      <c r="L17" s="5">
        <v>4.6900000000000004</v>
      </c>
      <c r="M17" s="5">
        <v>4.6900000000000004</v>
      </c>
      <c r="N17" s="5">
        <v>4.6900000000000004</v>
      </c>
      <c r="O17" s="5">
        <f>O18+O22</f>
        <v>3.2399999999999998</v>
      </c>
      <c r="P17" s="5">
        <f>P18+P22</f>
        <v>3.01</v>
      </c>
      <c r="Q17" s="5">
        <v>5.8</v>
      </c>
      <c r="R17" s="5">
        <v>5.55</v>
      </c>
      <c r="S17" s="5">
        <v>4.72</v>
      </c>
      <c r="T17" s="5">
        <f>T18+T22</f>
        <v>3.6</v>
      </c>
      <c r="U17" s="5">
        <v>4.72</v>
      </c>
      <c r="V17" s="5">
        <f>V18+V22</f>
        <v>3.6500000000000004</v>
      </c>
      <c r="W17" s="87">
        <v>3.6522078847370221</v>
      </c>
      <c r="X17" s="16">
        <f t="shared" ref="X17:BW17" si="8">X18+X22</f>
        <v>3.6522078847370221</v>
      </c>
      <c r="Y17" s="5">
        <f t="shared" si="8"/>
        <v>3.27</v>
      </c>
      <c r="Z17" s="79">
        <f>Z18+Z22</f>
        <v>3.27</v>
      </c>
      <c r="AA17" s="5">
        <f t="shared" si="8"/>
        <v>3.6</v>
      </c>
      <c r="AB17" s="5">
        <f t="shared" si="8"/>
        <v>3.6500000000000004</v>
      </c>
      <c r="AC17" s="5">
        <f t="shared" si="8"/>
        <v>3.6500000000000004</v>
      </c>
      <c r="AD17" s="5">
        <f t="shared" si="8"/>
        <v>3.27</v>
      </c>
      <c r="AE17" s="5">
        <f t="shared" si="8"/>
        <v>3.6500000000000004</v>
      </c>
      <c r="AF17" s="5">
        <f t="shared" si="8"/>
        <v>3.6500000000000004</v>
      </c>
      <c r="AG17" s="5">
        <f t="shared" si="8"/>
        <v>3.6500000000000004</v>
      </c>
      <c r="AH17" s="5">
        <f t="shared" si="8"/>
        <v>3.6500000000000004</v>
      </c>
      <c r="AI17" s="16">
        <f t="shared" ref="AI17" si="9">AI18+AI22</f>
        <v>3.6522078847370221</v>
      </c>
      <c r="AJ17" s="5">
        <f t="shared" si="8"/>
        <v>3.6</v>
      </c>
      <c r="AK17" s="5">
        <f t="shared" si="8"/>
        <v>3.6500000000000004</v>
      </c>
      <c r="AL17" s="5">
        <f t="shared" si="8"/>
        <v>3.6</v>
      </c>
      <c r="AM17" s="5">
        <f t="shared" si="8"/>
        <v>3.27</v>
      </c>
      <c r="AN17" s="5">
        <f t="shared" si="8"/>
        <v>3.6500000000000004</v>
      </c>
      <c r="AO17" s="5">
        <f t="shared" si="8"/>
        <v>3.6500000000000004</v>
      </c>
      <c r="AP17" s="5">
        <f t="shared" si="8"/>
        <v>5.5</v>
      </c>
      <c r="AQ17" s="5">
        <f t="shared" si="8"/>
        <v>3.6</v>
      </c>
      <c r="AR17" s="5">
        <f t="shared" si="8"/>
        <v>3.6</v>
      </c>
      <c r="AS17" s="5">
        <f t="shared" si="8"/>
        <v>3.6</v>
      </c>
      <c r="AT17" s="5">
        <f t="shared" si="8"/>
        <v>3.6</v>
      </c>
      <c r="AU17" s="16">
        <f t="shared" si="8"/>
        <v>4.0382400000000001</v>
      </c>
      <c r="AV17" s="5">
        <f t="shared" si="8"/>
        <v>3.6</v>
      </c>
      <c r="AW17" s="54">
        <f t="shared" si="8"/>
        <v>4.4893200000000002</v>
      </c>
      <c r="AX17" s="54">
        <f t="shared" si="8"/>
        <v>3.6918299999999999</v>
      </c>
      <c r="AY17" s="5">
        <f t="shared" si="8"/>
        <v>3.6</v>
      </c>
      <c r="AZ17" s="5">
        <f t="shared" si="8"/>
        <v>3.6</v>
      </c>
      <c r="BA17" s="5">
        <f t="shared" si="8"/>
        <v>3.6</v>
      </c>
      <c r="BB17" s="5">
        <f t="shared" si="8"/>
        <v>3.6</v>
      </c>
      <c r="BC17" s="5">
        <f t="shared" si="8"/>
        <v>5.5</v>
      </c>
      <c r="BD17" s="5">
        <f t="shared" si="8"/>
        <v>3.6</v>
      </c>
      <c r="BE17" s="5">
        <f t="shared" si="8"/>
        <v>3.6</v>
      </c>
      <c r="BF17" s="5">
        <f t="shared" si="8"/>
        <v>3.6</v>
      </c>
      <c r="BG17" s="5">
        <f t="shared" si="8"/>
        <v>3.6</v>
      </c>
      <c r="BH17" s="5">
        <f t="shared" si="8"/>
        <v>3.6</v>
      </c>
      <c r="BI17" s="54">
        <f t="shared" si="8"/>
        <v>4.5000600000000004</v>
      </c>
      <c r="BJ17" s="100">
        <f t="shared" si="8"/>
        <v>4.5013100000000001</v>
      </c>
      <c r="BK17" s="100">
        <f t="shared" si="8"/>
        <v>5.5</v>
      </c>
      <c r="BL17" s="5">
        <f t="shared" si="8"/>
        <v>5.5</v>
      </c>
      <c r="BM17" s="5">
        <f t="shared" si="8"/>
        <v>3.6</v>
      </c>
      <c r="BN17" s="5">
        <f t="shared" si="8"/>
        <v>5.5</v>
      </c>
      <c r="BO17" s="16">
        <f t="shared" si="8"/>
        <v>4.5505659240000007</v>
      </c>
      <c r="BP17" s="54">
        <f t="shared" si="8"/>
        <v>4.0811999999999999</v>
      </c>
      <c r="BQ17" s="54">
        <f t="shared" si="8"/>
        <v>4.0811999999999999</v>
      </c>
      <c r="BR17" s="54">
        <f t="shared" si="8"/>
        <v>4.0811999999999999</v>
      </c>
      <c r="BS17" s="5">
        <f t="shared" si="8"/>
        <v>3.6</v>
      </c>
      <c r="BT17" s="5">
        <f t="shared" si="8"/>
        <v>3.6500000000000004</v>
      </c>
      <c r="BU17" s="5">
        <f t="shared" si="8"/>
        <v>3.27</v>
      </c>
      <c r="BV17" s="5">
        <f t="shared" si="8"/>
        <v>3.6500000000000004</v>
      </c>
      <c r="BW17" s="5">
        <f t="shared" si="8"/>
        <v>3.6500000000000004</v>
      </c>
      <c r="BX17" s="51">
        <f>0.07*1.074</f>
        <v>7.5180000000000011E-2</v>
      </c>
      <c r="BY17" s="5">
        <v>5.8</v>
      </c>
      <c r="BZ17" s="5">
        <f t="shared" ref="BZ17" si="10">BZ18+BZ22</f>
        <v>3.6500000000000004</v>
      </c>
      <c r="CA17" s="5">
        <f>CA18+CA22</f>
        <v>3.6</v>
      </c>
      <c r="CB17" s="5">
        <f t="shared" ref="CB17" si="11">CB18+CB22</f>
        <v>3.27</v>
      </c>
      <c r="CC17" s="5">
        <f>CC18+CC22</f>
        <v>3.6</v>
      </c>
      <c r="CD17" s="5">
        <f>CD18+CD22</f>
        <v>3.6</v>
      </c>
      <c r="CE17" s="5">
        <f t="shared" ref="CE17:CR17" si="12">CE18+CE22</f>
        <v>3.6500000000000004</v>
      </c>
      <c r="CF17" s="5">
        <f t="shared" si="12"/>
        <v>3.6</v>
      </c>
      <c r="CG17" s="5">
        <f t="shared" si="12"/>
        <v>3.6</v>
      </c>
      <c r="CH17" s="5">
        <f t="shared" si="12"/>
        <v>3.6</v>
      </c>
      <c r="CI17" s="16">
        <f t="shared" si="12"/>
        <v>4.4141399999999997</v>
      </c>
      <c r="CJ17" s="5">
        <f t="shared" si="12"/>
        <v>3.6</v>
      </c>
      <c r="CK17" s="5">
        <f t="shared" si="12"/>
        <v>3.6</v>
      </c>
      <c r="CL17" s="5">
        <f t="shared" si="12"/>
        <v>3.6</v>
      </c>
      <c r="CM17" s="54">
        <f t="shared" si="12"/>
        <v>4.0811999999999999</v>
      </c>
      <c r="CN17" s="5">
        <f t="shared" si="12"/>
        <v>3.6</v>
      </c>
      <c r="CO17" s="5">
        <f t="shared" si="12"/>
        <v>3.6500000000000004</v>
      </c>
      <c r="CP17" s="5">
        <f t="shared" si="12"/>
        <v>3.6500000000000004</v>
      </c>
      <c r="CQ17" s="5">
        <f t="shared" si="12"/>
        <v>3.6500000000000004</v>
      </c>
      <c r="CR17" s="5">
        <f t="shared" si="12"/>
        <v>5.5</v>
      </c>
      <c r="CS17" s="5">
        <f>CS18+CS22</f>
        <v>3.6500000000000004</v>
      </c>
      <c r="CT17" s="5">
        <f>CT18+CT22</f>
        <v>3.6</v>
      </c>
      <c r="CU17" s="5">
        <f t="shared" ref="CU17:CW17" si="13">CU18+CU22</f>
        <v>3.6500000000000004</v>
      </c>
      <c r="CV17" s="5">
        <f>CV18+CV22</f>
        <v>3.6</v>
      </c>
      <c r="CW17" s="5">
        <f t="shared" si="13"/>
        <v>3.6500000000000004</v>
      </c>
      <c r="CX17" s="54">
        <f>CX18+CX22</f>
        <v>4.0811999999999999</v>
      </c>
      <c r="CY17" s="5">
        <f>CY18+CY22</f>
        <v>3.6</v>
      </c>
      <c r="CZ17" s="54">
        <f>CZ18+CZ22</f>
        <v>4.0811999999999999</v>
      </c>
      <c r="DA17" s="54">
        <f>DA18+DA22</f>
        <v>4.0811999999999999</v>
      </c>
    </row>
    <row r="18" spans="1:105" ht="30" x14ac:dyDescent="0.25">
      <c r="A18" s="9" t="s">
        <v>19</v>
      </c>
      <c r="B18" s="1" t="s">
        <v>20</v>
      </c>
      <c r="C18" s="3">
        <f>C19+C20+C21</f>
        <v>3.12</v>
      </c>
      <c r="D18" s="53">
        <f>D19+D20+D21</f>
        <v>3.5979000000000001</v>
      </c>
      <c r="E18" s="3">
        <f>E19+E20+E21</f>
        <v>3.12</v>
      </c>
      <c r="F18" s="3">
        <v>3.13</v>
      </c>
      <c r="G18" s="3">
        <v>3.13</v>
      </c>
      <c r="H18" s="3">
        <v>3.13</v>
      </c>
      <c r="I18" s="3">
        <v>3.13</v>
      </c>
      <c r="J18" s="3">
        <v>3.13</v>
      </c>
      <c r="K18" s="3">
        <v>3.13</v>
      </c>
      <c r="L18" s="3">
        <v>3.13</v>
      </c>
      <c r="M18" s="3">
        <v>3.13</v>
      </c>
      <c r="N18" s="3">
        <v>3.13</v>
      </c>
      <c r="O18" s="3">
        <f>O19+O20+O21</f>
        <v>2.8</v>
      </c>
      <c r="P18" s="3">
        <f>P19+P20+P21</f>
        <v>2.57</v>
      </c>
      <c r="Q18" s="3">
        <v>3.87</v>
      </c>
      <c r="R18" s="3">
        <v>3.7</v>
      </c>
      <c r="S18" s="3">
        <v>3.15</v>
      </c>
      <c r="T18" s="3">
        <f>T19+T20+T21</f>
        <v>3.12</v>
      </c>
      <c r="U18" s="3">
        <v>3.15</v>
      </c>
      <c r="V18" s="3">
        <f>V19+V20+V21</f>
        <v>3.2600000000000002</v>
      </c>
      <c r="W18" s="86">
        <v>3.2622078847370219</v>
      </c>
      <c r="X18" s="86">
        <v>3.2622078847370219</v>
      </c>
      <c r="Y18" s="3">
        <f t="shared" ref="Y18:AO18" si="14">Y19+Y20+Y21</f>
        <v>2.88</v>
      </c>
      <c r="Z18" s="69">
        <f t="shared" si="14"/>
        <v>2.88</v>
      </c>
      <c r="AA18" s="3">
        <f t="shared" si="14"/>
        <v>3.12</v>
      </c>
      <c r="AB18" s="3">
        <f t="shared" si="14"/>
        <v>3.2600000000000002</v>
      </c>
      <c r="AC18" s="3">
        <f t="shared" si="14"/>
        <v>3.2600000000000002</v>
      </c>
      <c r="AD18" s="3">
        <f t="shared" si="14"/>
        <v>2.88</v>
      </c>
      <c r="AE18" s="3">
        <f t="shared" si="14"/>
        <v>3.2600000000000002</v>
      </c>
      <c r="AF18" s="3">
        <f t="shared" si="14"/>
        <v>3.2600000000000002</v>
      </c>
      <c r="AG18" s="3">
        <f t="shared" si="14"/>
        <v>3.2600000000000002</v>
      </c>
      <c r="AH18" s="3">
        <f t="shared" si="14"/>
        <v>3.2600000000000002</v>
      </c>
      <c r="AI18" s="86">
        <v>3.2622078847370219</v>
      </c>
      <c r="AJ18" s="3">
        <f t="shared" si="14"/>
        <v>3.12</v>
      </c>
      <c r="AK18" s="3">
        <f t="shared" si="14"/>
        <v>3.2600000000000002</v>
      </c>
      <c r="AL18" s="3">
        <f t="shared" si="14"/>
        <v>3.12</v>
      </c>
      <c r="AM18" s="3">
        <f t="shared" si="14"/>
        <v>2.88</v>
      </c>
      <c r="AN18" s="3">
        <f t="shared" si="14"/>
        <v>3.2600000000000002</v>
      </c>
      <c r="AO18" s="3">
        <f t="shared" si="14"/>
        <v>3.2600000000000002</v>
      </c>
      <c r="AP18" s="3">
        <v>3.67</v>
      </c>
      <c r="AQ18" s="3">
        <f t="shared" ref="AQ18:BB18" si="15">AQ19+AQ20+AQ21</f>
        <v>3.12</v>
      </c>
      <c r="AR18" s="3">
        <f t="shared" si="15"/>
        <v>3.12</v>
      </c>
      <c r="AS18" s="3">
        <f t="shared" si="15"/>
        <v>3.12</v>
      </c>
      <c r="AT18" s="3">
        <f t="shared" si="15"/>
        <v>3.12</v>
      </c>
      <c r="AU18" s="53">
        <f t="shared" si="15"/>
        <v>3.5012400000000001</v>
      </c>
      <c r="AV18" s="3">
        <f t="shared" si="15"/>
        <v>3.12</v>
      </c>
      <c r="AW18" s="56">
        <f t="shared" si="15"/>
        <v>3.8019600000000002</v>
      </c>
      <c r="AX18" s="55">
        <f t="shared" si="15"/>
        <v>3.2515199999999997</v>
      </c>
      <c r="AY18" s="3">
        <f t="shared" si="15"/>
        <v>3.12</v>
      </c>
      <c r="AZ18" s="3">
        <f t="shared" si="15"/>
        <v>3.12</v>
      </c>
      <c r="BA18" s="3">
        <f t="shared" si="15"/>
        <v>3.12</v>
      </c>
      <c r="BB18" s="3">
        <f t="shared" si="15"/>
        <v>3.12</v>
      </c>
      <c r="BC18" s="3">
        <v>3.67</v>
      </c>
      <c r="BD18" s="3">
        <f t="shared" ref="BD18:BJ18" si="16">BD19+BD20+BD21</f>
        <v>3.12</v>
      </c>
      <c r="BE18" s="3">
        <f t="shared" si="16"/>
        <v>3.12</v>
      </c>
      <c r="BF18" s="3">
        <f t="shared" si="16"/>
        <v>3.12</v>
      </c>
      <c r="BG18" s="3">
        <f t="shared" si="16"/>
        <v>3.12</v>
      </c>
      <c r="BH18" s="3">
        <f t="shared" si="16"/>
        <v>3.12</v>
      </c>
      <c r="BI18" s="56">
        <f t="shared" si="16"/>
        <v>3.8127000000000004</v>
      </c>
      <c r="BJ18" s="56">
        <f t="shared" si="16"/>
        <v>3.8139500000000002</v>
      </c>
      <c r="BK18" s="63">
        <v>3.67</v>
      </c>
      <c r="BL18" s="3">
        <v>3.67</v>
      </c>
      <c r="BM18" s="3">
        <f>BM19+BM20+BM21</f>
        <v>3.12</v>
      </c>
      <c r="BN18" s="3">
        <v>3.67</v>
      </c>
      <c r="BO18" s="53">
        <f>BO19+BO20+BO21</f>
        <v>3.9598659240000007</v>
      </c>
      <c r="BP18" s="56">
        <f>BP19+BP20+BP21</f>
        <v>3.5334600000000003</v>
      </c>
      <c r="BQ18" s="56">
        <f>BQ19+BQ20+BQ21</f>
        <v>3.5334600000000003</v>
      </c>
      <c r="BR18" s="56">
        <f>BR19+BR20+BR21</f>
        <v>3.5334600000000003</v>
      </c>
      <c r="BS18" s="3">
        <f>BS19+BS20+BS21</f>
        <v>3.12</v>
      </c>
      <c r="BT18" s="3">
        <f t="shared" ref="BT18:BW18" si="17">BT19+BT20+BT21</f>
        <v>3.2600000000000002</v>
      </c>
      <c r="BU18" s="3">
        <f t="shared" si="17"/>
        <v>2.88</v>
      </c>
      <c r="BV18" s="3">
        <f t="shared" si="17"/>
        <v>3.2600000000000002</v>
      </c>
      <c r="BW18" s="3">
        <f t="shared" si="17"/>
        <v>3.2600000000000002</v>
      </c>
      <c r="BX18" s="16">
        <f>BX19+BX23</f>
        <v>3.2971800000000004</v>
      </c>
      <c r="BY18" s="3">
        <v>3.87</v>
      </c>
      <c r="BZ18" s="3">
        <f t="shared" ref="BZ18" si="18">BZ19+BZ20+BZ21</f>
        <v>3.2600000000000002</v>
      </c>
      <c r="CA18" s="3">
        <f>CA19+CA20+CA21</f>
        <v>3.12</v>
      </c>
      <c r="CB18" s="3">
        <f t="shared" ref="CB18" si="19">CB19+CB20+CB21</f>
        <v>2.88</v>
      </c>
      <c r="CC18" s="3">
        <f>CC19+CC20+CC21</f>
        <v>3.12</v>
      </c>
      <c r="CD18" s="3">
        <f>CD19+CD20+CD21</f>
        <v>3.12</v>
      </c>
      <c r="CE18" s="3">
        <f t="shared" ref="CE18:CQ18" si="20">CE19+CE20+CE21</f>
        <v>3.2600000000000002</v>
      </c>
      <c r="CF18" s="3">
        <f t="shared" si="20"/>
        <v>3.12</v>
      </c>
      <c r="CG18" s="3">
        <f t="shared" si="20"/>
        <v>3.12</v>
      </c>
      <c r="CH18" s="3">
        <f t="shared" si="20"/>
        <v>3.12</v>
      </c>
      <c r="CI18" s="65">
        <f t="shared" si="20"/>
        <v>3.7804799999999998</v>
      </c>
      <c r="CJ18" s="3">
        <f t="shared" si="20"/>
        <v>3.12</v>
      </c>
      <c r="CK18" s="3">
        <f t="shared" si="20"/>
        <v>3.12</v>
      </c>
      <c r="CL18" s="3">
        <f t="shared" si="20"/>
        <v>3.12</v>
      </c>
      <c r="CM18" s="56">
        <f t="shared" si="20"/>
        <v>3.5334600000000003</v>
      </c>
      <c r="CN18" s="3">
        <f t="shared" si="20"/>
        <v>3.12</v>
      </c>
      <c r="CO18" s="3">
        <f t="shared" si="20"/>
        <v>3.2600000000000002</v>
      </c>
      <c r="CP18" s="3">
        <f t="shared" si="20"/>
        <v>3.2600000000000002</v>
      </c>
      <c r="CQ18" s="3">
        <f t="shared" si="20"/>
        <v>3.2600000000000002</v>
      </c>
      <c r="CR18" s="3">
        <v>3.67</v>
      </c>
      <c r="CS18" s="3">
        <f>CS19+CS20+CS21</f>
        <v>3.2600000000000002</v>
      </c>
      <c r="CT18" s="3">
        <f>CT19+CT20+CT21</f>
        <v>3.12</v>
      </c>
      <c r="CU18" s="3">
        <f t="shared" ref="CU18:CW18" si="21">CU19+CU20+CU21</f>
        <v>3.2600000000000002</v>
      </c>
      <c r="CV18" s="3">
        <f>CV19+CV20+CV21</f>
        <v>3.12</v>
      </c>
      <c r="CW18" s="3">
        <f t="shared" si="21"/>
        <v>3.2600000000000002</v>
      </c>
      <c r="CX18" s="56">
        <f>CX19+CX20+CX21</f>
        <v>3.5334600000000003</v>
      </c>
      <c r="CY18" s="3">
        <f>CY19+CY20+CY21</f>
        <v>3.12</v>
      </c>
      <c r="CZ18" s="56">
        <f>CZ19+CZ20+CZ21</f>
        <v>3.5334600000000003</v>
      </c>
      <c r="DA18" s="56">
        <f>DA19+DA20+DA21</f>
        <v>3.5334600000000003</v>
      </c>
    </row>
    <row r="19" spans="1:105" ht="24" x14ac:dyDescent="0.25">
      <c r="A19" s="15" t="s">
        <v>21</v>
      </c>
      <c r="B19" s="14" t="s">
        <v>22</v>
      </c>
      <c r="C19" s="13">
        <v>1.0900000000000001</v>
      </c>
      <c r="D19" s="95">
        <f>1.17*1.074</f>
        <v>1.25658</v>
      </c>
      <c r="E19" s="13">
        <v>1.0900000000000001</v>
      </c>
      <c r="F19" s="13"/>
      <c r="G19" s="13"/>
      <c r="H19" s="13"/>
      <c r="I19" s="13"/>
      <c r="J19" s="13"/>
      <c r="K19" s="13"/>
      <c r="L19" s="13"/>
      <c r="M19" s="13"/>
      <c r="N19" s="13"/>
      <c r="O19" s="2"/>
      <c r="P19" s="2"/>
      <c r="Q19" s="2"/>
      <c r="R19" s="2"/>
      <c r="S19" s="2"/>
      <c r="T19" s="13">
        <v>1.0900000000000001</v>
      </c>
      <c r="U19" s="2"/>
      <c r="V19" s="13">
        <v>1.0900000000000001</v>
      </c>
      <c r="W19" s="86">
        <v>1.0861957138754037</v>
      </c>
      <c r="X19" s="86">
        <v>1.0861957138754037</v>
      </c>
      <c r="Y19" s="13">
        <v>0.97</v>
      </c>
      <c r="Z19" s="69">
        <v>0.97</v>
      </c>
      <c r="AA19" s="13">
        <v>1.0900000000000001</v>
      </c>
      <c r="AB19" s="13">
        <v>1.0900000000000001</v>
      </c>
      <c r="AC19" s="13">
        <v>1.0900000000000001</v>
      </c>
      <c r="AD19" s="13">
        <v>0.97</v>
      </c>
      <c r="AE19" s="13">
        <v>1.0900000000000001</v>
      </c>
      <c r="AF19" s="13">
        <v>1.0900000000000001</v>
      </c>
      <c r="AG19" s="13">
        <v>1.0900000000000001</v>
      </c>
      <c r="AH19" s="13">
        <v>1.0900000000000001</v>
      </c>
      <c r="AI19" s="86">
        <v>1.0861957138754037</v>
      </c>
      <c r="AJ19" s="13">
        <v>1.0900000000000001</v>
      </c>
      <c r="AK19" s="13">
        <v>1.0900000000000001</v>
      </c>
      <c r="AL19" s="13">
        <v>1.0900000000000001</v>
      </c>
      <c r="AM19" s="13">
        <v>0.97</v>
      </c>
      <c r="AN19" s="13">
        <v>1.0900000000000001</v>
      </c>
      <c r="AO19" s="13">
        <v>1.0900000000000001</v>
      </c>
      <c r="AP19" s="13"/>
      <c r="AQ19" s="13">
        <v>1.0900000000000001</v>
      </c>
      <c r="AR19" s="13">
        <v>1.0900000000000001</v>
      </c>
      <c r="AS19" s="13">
        <v>1.0900000000000001</v>
      </c>
      <c r="AT19" s="13">
        <v>1.0900000000000001</v>
      </c>
      <c r="AU19" s="95">
        <f>1.14*1.074</f>
        <v>1.2243599999999999</v>
      </c>
      <c r="AV19" s="13">
        <v>1.0900000000000001</v>
      </c>
      <c r="AW19" s="55">
        <f>0.8*1.074</f>
        <v>0.85920000000000007</v>
      </c>
      <c r="AX19" s="55">
        <f>0.97*0.129+0.97</f>
        <v>1.0951299999999999</v>
      </c>
      <c r="AY19" s="13">
        <v>1.0900000000000001</v>
      </c>
      <c r="AZ19" s="13">
        <v>1.0900000000000001</v>
      </c>
      <c r="BA19" s="13">
        <v>1.0900000000000001</v>
      </c>
      <c r="BB19" s="13">
        <v>1.0900000000000001</v>
      </c>
      <c r="BC19" s="13"/>
      <c r="BD19" s="13">
        <v>1.0900000000000001</v>
      </c>
      <c r="BE19" s="13">
        <v>1.0900000000000001</v>
      </c>
      <c r="BF19" s="13">
        <v>1.0900000000000001</v>
      </c>
      <c r="BG19" s="13">
        <v>1.0900000000000001</v>
      </c>
      <c r="BH19" s="13">
        <v>1.0900000000000001</v>
      </c>
      <c r="BI19" s="99">
        <f>0.8*1.074</f>
        <v>0.85920000000000007</v>
      </c>
      <c r="BJ19" s="55">
        <f>0.8*1.075</f>
        <v>0.86</v>
      </c>
      <c r="BK19" s="63"/>
      <c r="BL19" s="13"/>
      <c r="BM19" s="13">
        <v>1.0900000000000001</v>
      </c>
      <c r="BN19" s="13"/>
      <c r="BO19" s="95">
        <f>1.280524*1.074</f>
        <v>1.3752827760000002</v>
      </c>
      <c r="BP19" s="99">
        <f>1.15*1.074</f>
        <v>1.2351000000000001</v>
      </c>
      <c r="BQ19" s="99">
        <f>1.15*1.074</f>
        <v>1.2351000000000001</v>
      </c>
      <c r="BR19" s="99">
        <f>1.15*1.074</f>
        <v>1.2351000000000001</v>
      </c>
      <c r="BS19" s="13">
        <v>1.0900000000000001</v>
      </c>
      <c r="BT19" s="13">
        <v>1.0900000000000001</v>
      </c>
      <c r="BU19" s="13">
        <v>0.97</v>
      </c>
      <c r="BV19" s="13">
        <v>1.0900000000000001</v>
      </c>
      <c r="BW19" s="13">
        <v>1.0900000000000001</v>
      </c>
      <c r="BX19" s="53">
        <f>BX20+BX21+BX22</f>
        <v>2.9212800000000003</v>
      </c>
      <c r="BY19" s="2"/>
      <c r="BZ19" s="13">
        <v>1.0900000000000001</v>
      </c>
      <c r="CA19" s="13">
        <v>1.0900000000000001</v>
      </c>
      <c r="CB19" s="13">
        <v>0.97</v>
      </c>
      <c r="CC19" s="13">
        <v>1.0900000000000001</v>
      </c>
      <c r="CD19" s="13">
        <v>1.0900000000000001</v>
      </c>
      <c r="CE19" s="13">
        <v>1.0900000000000001</v>
      </c>
      <c r="CF19" s="13">
        <v>1.0900000000000001</v>
      </c>
      <c r="CG19" s="13">
        <v>1.0900000000000001</v>
      </c>
      <c r="CH19" s="13">
        <v>1.0900000000000001</v>
      </c>
      <c r="CI19" s="64">
        <f>0.8*1.074</f>
        <v>0.85920000000000007</v>
      </c>
      <c r="CJ19" s="13">
        <v>1.0900000000000001</v>
      </c>
      <c r="CK19" s="13">
        <v>1.0900000000000001</v>
      </c>
      <c r="CL19" s="13">
        <v>1.0900000000000001</v>
      </c>
      <c r="CM19" s="99">
        <f>1.15*1.074</f>
        <v>1.2351000000000001</v>
      </c>
      <c r="CN19" s="13">
        <v>1.0900000000000001</v>
      </c>
      <c r="CO19" s="13">
        <v>1.0900000000000001</v>
      </c>
      <c r="CP19" s="13">
        <v>1.0900000000000001</v>
      </c>
      <c r="CQ19" s="13">
        <v>1.0900000000000001</v>
      </c>
      <c r="CR19" s="13"/>
      <c r="CS19" s="13">
        <v>1.0900000000000001</v>
      </c>
      <c r="CT19" s="13">
        <v>1.0900000000000001</v>
      </c>
      <c r="CU19" s="13">
        <v>1.0900000000000001</v>
      </c>
      <c r="CV19" s="13">
        <v>1.0900000000000001</v>
      </c>
      <c r="CW19" s="13">
        <v>1.0900000000000001</v>
      </c>
      <c r="CX19" s="99">
        <f>1.15*1.074</f>
        <v>1.2351000000000001</v>
      </c>
      <c r="CY19" s="13">
        <v>1.0900000000000001</v>
      </c>
      <c r="CZ19" s="99">
        <f>1.15*1.074</f>
        <v>1.2351000000000001</v>
      </c>
      <c r="DA19" s="99">
        <f>1.15*1.074</f>
        <v>1.2351000000000001</v>
      </c>
    </row>
    <row r="20" spans="1:105" x14ac:dyDescent="0.25">
      <c r="A20" s="15" t="s">
        <v>23</v>
      </c>
      <c r="B20" s="14" t="s">
        <v>24</v>
      </c>
      <c r="C20" s="13">
        <v>0.42</v>
      </c>
      <c r="D20" s="95">
        <f>0.45*1.074</f>
        <v>0.48330000000000006</v>
      </c>
      <c r="E20" s="13">
        <v>0.42</v>
      </c>
      <c r="F20" s="13"/>
      <c r="G20" s="13"/>
      <c r="H20" s="13"/>
      <c r="I20" s="13"/>
      <c r="J20" s="13"/>
      <c r="K20" s="13"/>
      <c r="L20" s="13"/>
      <c r="M20" s="13"/>
      <c r="N20" s="13"/>
      <c r="O20" s="2">
        <v>2.8</v>
      </c>
      <c r="P20" s="2">
        <v>2.57</v>
      </c>
      <c r="Q20" s="2"/>
      <c r="R20" s="2"/>
      <c r="S20" s="2"/>
      <c r="T20" s="13">
        <v>0.42</v>
      </c>
      <c r="U20" s="2"/>
      <c r="V20" s="13">
        <v>0.56999999999999995</v>
      </c>
      <c r="W20" s="90">
        <v>0.57550615561089724</v>
      </c>
      <c r="X20" s="90">
        <v>0.57550615561089724</v>
      </c>
      <c r="Y20" s="13">
        <v>0.48</v>
      </c>
      <c r="Z20" s="69">
        <v>0.48</v>
      </c>
      <c r="AA20" s="13">
        <v>0.42</v>
      </c>
      <c r="AB20" s="13">
        <v>0.56999999999999995</v>
      </c>
      <c r="AC20" s="13">
        <v>0.56999999999999995</v>
      </c>
      <c r="AD20" s="13">
        <v>0.48</v>
      </c>
      <c r="AE20" s="13">
        <v>0.56999999999999995</v>
      </c>
      <c r="AF20" s="13">
        <v>0.56999999999999995</v>
      </c>
      <c r="AG20" s="13">
        <v>0.56999999999999995</v>
      </c>
      <c r="AH20" s="13">
        <v>0.56999999999999995</v>
      </c>
      <c r="AI20" s="90">
        <v>0.57550615561089724</v>
      </c>
      <c r="AJ20" s="13">
        <v>0.42</v>
      </c>
      <c r="AK20" s="13">
        <v>0.56999999999999995</v>
      </c>
      <c r="AL20" s="13">
        <v>0.42</v>
      </c>
      <c r="AM20" s="13">
        <v>0.48</v>
      </c>
      <c r="AN20" s="13">
        <v>0.56999999999999995</v>
      </c>
      <c r="AO20" s="13">
        <v>0.56999999999999995</v>
      </c>
      <c r="AP20" s="13"/>
      <c r="AQ20" s="13">
        <v>0.42</v>
      </c>
      <c r="AR20" s="13">
        <v>0.42</v>
      </c>
      <c r="AS20" s="13">
        <v>0.42</v>
      </c>
      <c r="AT20" s="13">
        <v>0.42</v>
      </c>
      <c r="AU20" s="95">
        <f>0.44*1.074</f>
        <v>0.47256000000000004</v>
      </c>
      <c r="AV20" s="13">
        <v>0.42</v>
      </c>
      <c r="AW20" s="55">
        <f>0.44*1.074</f>
        <v>0.47256000000000004</v>
      </c>
      <c r="AX20" s="55">
        <f>0.48*0.129+0.48</f>
        <v>0.54191999999999996</v>
      </c>
      <c r="AY20" s="13">
        <v>0.42</v>
      </c>
      <c r="AZ20" s="13">
        <v>0.42</v>
      </c>
      <c r="BA20" s="13">
        <v>0.42</v>
      </c>
      <c r="BB20" s="13">
        <v>0.42</v>
      </c>
      <c r="BC20" s="13"/>
      <c r="BD20" s="13">
        <v>0.42</v>
      </c>
      <c r="BE20" s="13">
        <v>0.42</v>
      </c>
      <c r="BF20" s="13">
        <v>0.42</v>
      </c>
      <c r="BG20" s="13">
        <v>0.42</v>
      </c>
      <c r="BH20" s="13">
        <v>0.42</v>
      </c>
      <c r="BI20" s="99">
        <f>0.45*1.074</f>
        <v>0.48330000000000006</v>
      </c>
      <c r="BJ20" s="55">
        <f>0.45*1.075</f>
        <v>0.48375000000000001</v>
      </c>
      <c r="BK20" s="63"/>
      <c r="BL20" s="13"/>
      <c r="BM20" s="13">
        <v>0.42</v>
      </c>
      <c r="BN20" s="13"/>
      <c r="BO20" s="95">
        <f>0.342209*1.074</f>
        <v>0.367532466</v>
      </c>
      <c r="BP20" s="99">
        <f>0.44*1.074</f>
        <v>0.47256000000000004</v>
      </c>
      <c r="BQ20" s="99">
        <f>0.44*1.074</f>
        <v>0.47256000000000004</v>
      </c>
      <c r="BR20" s="99">
        <f>0.44*1.074</f>
        <v>0.47256000000000004</v>
      </c>
      <c r="BS20" s="13">
        <v>0.42</v>
      </c>
      <c r="BT20" s="13">
        <v>0.56999999999999995</v>
      </c>
      <c r="BU20" s="13">
        <v>0.48</v>
      </c>
      <c r="BV20" s="13">
        <v>0.56999999999999995</v>
      </c>
      <c r="BW20" s="13">
        <v>0.56999999999999995</v>
      </c>
      <c r="BX20" s="51">
        <f>1.15*1.074</f>
        <v>1.2351000000000001</v>
      </c>
      <c r="BY20" s="2"/>
      <c r="BZ20" s="13">
        <v>0.56999999999999995</v>
      </c>
      <c r="CA20" s="13">
        <v>0.42</v>
      </c>
      <c r="CB20" s="13">
        <v>0.48</v>
      </c>
      <c r="CC20" s="13">
        <v>0.42</v>
      </c>
      <c r="CD20" s="13">
        <v>0.42</v>
      </c>
      <c r="CE20" s="13">
        <v>0.56999999999999995</v>
      </c>
      <c r="CF20" s="13">
        <v>0.42</v>
      </c>
      <c r="CG20" s="13">
        <v>0.42</v>
      </c>
      <c r="CH20" s="13">
        <v>0.42</v>
      </c>
      <c r="CI20" s="64">
        <f>0.44*1.074</f>
        <v>0.47256000000000004</v>
      </c>
      <c r="CJ20" s="13">
        <v>0.42</v>
      </c>
      <c r="CK20" s="13">
        <v>0.42</v>
      </c>
      <c r="CL20" s="13">
        <v>0.42</v>
      </c>
      <c r="CM20" s="99">
        <f>0.44*1.074</f>
        <v>0.47256000000000004</v>
      </c>
      <c r="CN20" s="13">
        <v>0.42</v>
      </c>
      <c r="CO20" s="13">
        <v>0.56999999999999995</v>
      </c>
      <c r="CP20" s="13">
        <v>0.56999999999999995</v>
      </c>
      <c r="CQ20" s="13">
        <v>0.56999999999999995</v>
      </c>
      <c r="CR20" s="13"/>
      <c r="CS20" s="13">
        <v>0.56999999999999995</v>
      </c>
      <c r="CT20" s="13">
        <v>0.42</v>
      </c>
      <c r="CU20" s="13">
        <v>0.56999999999999995</v>
      </c>
      <c r="CV20" s="13">
        <v>0.42</v>
      </c>
      <c r="CW20" s="13">
        <v>0.56999999999999995</v>
      </c>
      <c r="CX20" s="99">
        <f>0.44*1.074</f>
        <v>0.47256000000000004</v>
      </c>
      <c r="CY20" s="13">
        <v>0.42</v>
      </c>
      <c r="CZ20" s="99">
        <f>0.44*1.074</f>
        <v>0.47256000000000004</v>
      </c>
      <c r="DA20" s="99">
        <f>0.44*1.074</f>
        <v>0.47256000000000004</v>
      </c>
    </row>
    <row r="21" spans="1:105" ht="24" x14ac:dyDescent="0.25">
      <c r="A21" s="15" t="s">
        <v>46</v>
      </c>
      <c r="B21" s="14" t="s">
        <v>25</v>
      </c>
      <c r="C21" s="13">
        <v>1.61</v>
      </c>
      <c r="D21" s="95">
        <f>1.73*1.074</f>
        <v>1.85802</v>
      </c>
      <c r="E21" s="13">
        <v>1.61</v>
      </c>
      <c r="F21" s="13"/>
      <c r="G21" s="13"/>
      <c r="H21" s="13"/>
      <c r="I21" s="13"/>
      <c r="J21" s="13"/>
      <c r="K21" s="13"/>
      <c r="L21" s="13"/>
      <c r="M21" s="13"/>
      <c r="N21" s="13"/>
      <c r="O21" s="2"/>
      <c r="P21" s="2"/>
      <c r="Q21" s="2"/>
      <c r="R21" s="2"/>
      <c r="S21" s="2"/>
      <c r="T21" s="13">
        <v>1.61</v>
      </c>
      <c r="U21" s="2"/>
      <c r="V21" s="13">
        <v>1.6</v>
      </c>
      <c r="W21" s="86">
        <v>1.6005060152507209</v>
      </c>
      <c r="X21" s="86">
        <v>1.6005060152507209</v>
      </c>
      <c r="Y21" s="13">
        <v>1.43</v>
      </c>
      <c r="Z21" s="69">
        <v>1.43</v>
      </c>
      <c r="AA21" s="13">
        <v>1.61</v>
      </c>
      <c r="AB21" s="13">
        <v>1.6</v>
      </c>
      <c r="AC21" s="13">
        <v>1.6</v>
      </c>
      <c r="AD21" s="13">
        <v>1.43</v>
      </c>
      <c r="AE21" s="13">
        <v>1.6</v>
      </c>
      <c r="AF21" s="13">
        <v>1.6</v>
      </c>
      <c r="AG21" s="13">
        <v>1.6</v>
      </c>
      <c r="AH21" s="13">
        <v>1.6</v>
      </c>
      <c r="AI21" s="86">
        <v>1.6005060152507209</v>
      </c>
      <c r="AJ21" s="13">
        <v>1.61</v>
      </c>
      <c r="AK21" s="13">
        <v>1.6</v>
      </c>
      <c r="AL21" s="13">
        <v>1.61</v>
      </c>
      <c r="AM21" s="13">
        <v>1.43</v>
      </c>
      <c r="AN21" s="13">
        <v>1.6</v>
      </c>
      <c r="AO21" s="13">
        <v>1.6</v>
      </c>
      <c r="AP21" s="13"/>
      <c r="AQ21" s="13">
        <v>1.61</v>
      </c>
      <c r="AR21" s="13">
        <v>1.61</v>
      </c>
      <c r="AS21" s="13">
        <v>1.61</v>
      </c>
      <c r="AT21" s="13">
        <v>1.61</v>
      </c>
      <c r="AU21" s="95">
        <f>1.68*1.074</f>
        <v>1.8043200000000001</v>
      </c>
      <c r="AV21" s="13">
        <v>1.61</v>
      </c>
      <c r="AW21" s="55">
        <f>2.3*1.074</f>
        <v>2.4702000000000002</v>
      </c>
      <c r="AX21" s="55">
        <f>1.43*0.129+1.43</f>
        <v>1.6144699999999998</v>
      </c>
      <c r="AY21" s="13">
        <v>1.61</v>
      </c>
      <c r="AZ21" s="13">
        <v>1.61</v>
      </c>
      <c r="BA21" s="13">
        <v>1.61</v>
      </c>
      <c r="BB21" s="13">
        <v>1.61</v>
      </c>
      <c r="BC21" s="13"/>
      <c r="BD21" s="13">
        <v>1.61</v>
      </c>
      <c r="BE21" s="13">
        <v>1.61</v>
      </c>
      <c r="BF21" s="13">
        <v>1.61</v>
      </c>
      <c r="BG21" s="13">
        <v>1.61</v>
      </c>
      <c r="BH21" s="13">
        <v>1.61</v>
      </c>
      <c r="BI21" s="99">
        <f>2.3*1.074</f>
        <v>2.4702000000000002</v>
      </c>
      <c r="BJ21" s="55">
        <f>2.3*1.074</f>
        <v>2.4702000000000002</v>
      </c>
      <c r="BK21" s="63"/>
      <c r="BL21" s="13"/>
      <c r="BM21" s="13">
        <v>1.61</v>
      </c>
      <c r="BN21" s="13"/>
      <c r="BO21" s="95">
        <f>2.064293*1.074</f>
        <v>2.2170506820000004</v>
      </c>
      <c r="BP21" s="99">
        <f>1.7*1.074</f>
        <v>1.8258000000000001</v>
      </c>
      <c r="BQ21" s="99">
        <f>1.7*1.074</f>
        <v>1.8258000000000001</v>
      </c>
      <c r="BR21" s="99">
        <f>1.7*1.074</f>
        <v>1.8258000000000001</v>
      </c>
      <c r="BS21" s="13">
        <v>1.61</v>
      </c>
      <c r="BT21" s="13">
        <v>1.6</v>
      </c>
      <c r="BU21" s="13">
        <v>1.43</v>
      </c>
      <c r="BV21" s="13">
        <v>1.6</v>
      </c>
      <c r="BW21" s="13">
        <v>1.6</v>
      </c>
      <c r="BX21" s="51">
        <f>0.47*1.074</f>
        <v>0.50478000000000001</v>
      </c>
      <c r="BY21" s="2"/>
      <c r="BZ21" s="13">
        <v>1.6</v>
      </c>
      <c r="CA21" s="13">
        <v>1.61</v>
      </c>
      <c r="CB21" s="13">
        <v>1.43</v>
      </c>
      <c r="CC21" s="13">
        <v>1.61</v>
      </c>
      <c r="CD21" s="13">
        <v>1.61</v>
      </c>
      <c r="CE21" s="13">
        <v>1.6</v>
      </c>
      <c r="CF21" s="13">
        <v>1.61</v>
      </c>
      <c r="CG21" s="13">
        <v>1.61</v>
      </c>
      <c r="CH21" s="13">
        <v>1.61</v>
      </c>
      <c r="CI21" s="64">
        <f>2.28*1.074</f>
        <v>2.4487199999999998</v>
      </c>
      <c r="CJ21" s="13">
        <v>1.61</v>
      </c>
      <c r="CK21" s="13">
        <v>1.61</v>
      </c>
      <c r="CL21" s="13">
        <v>1.61</v>
      </c>
      <c r="CM21" s="99">
        <f>1.7*1.074</f>
        <v>1.8258000000000001</v>
      </c>
      <c r="CN21" s="13">
        <v>1.61</v>
      </c>
      <c r="CO21" s="13">
        <v>1.6</v>
      </c>
      <c r="CP21" s="13">
        <v>1.6</v>
      </c>
      <c r="CQ21" s="13">
        <v>1.6</v>
      </c>
      <c r="CR21" s="13"/>
      <c r="CS21" s="13">
        <v>1.6</v>
      </c>
      <c r="CT21" s="13">
        <v>1.61</v>
      </c>
      <c r="CU21" s="13">
        <v>1.6</v>
      </c>
      <c r="CV21" s="13">
        <v>1.61</v>
      </c>
      <c r="CW21" s="13">
        <v>1.6</v>
      </c>
      <c r="CX21" s="99">
        <f>1.7*1.074</f>
        <v>1.8258000000000001</v>
      </c>
      <c r="CY21" s="13">
        <v>1.61</v>
      </c>
      <c r="CZ21" s="99">
        <f>1.7*1.074</f>
        <v>1.8258000000000001</v>
      </c>
      <c r="DA21" s="99">
        <f>1.7*1.074</f>
        <v>1.8258000000000001</v>
      </c>
    </row>
    <row r="22" spans="1:105" ht="30" x14ac:dyDescent="0.25">
      <c r="A22" s="9" t="s">
        <v>26</v>
      </c>
      <c r="B22" s="1" t="s">
        <v>27</v>
      </c>
      <c r="C22" s="2">
        <v>0.48</v>
      </c>
      <c r="D22" s="51">
        <f>0.52*1.074</f>
        <v>0.55848000000000009</v>
      </c>
      <c r="E22" s="2">
        <v>0.48</v>
      </c>
      <c r="F22" s="2">
        <v>1.56</v>
      </c>
      <c r="G22" s="2">
        <v>1.56</v>
      </c>
      <c r="H22" s="2">
        <v>1.56</v>
      </c>
      <c r="I22" s="2">
        <v>1.56</v>
      </c>
      <c r="J22" s="2">
        <v>1.56</v>
      </c>
      <c r="K22" s="2">
        <v>1.56</v>
      </c>
      <c r="L22" s="2">
        <v>1.56</v>
      </c>
      <c r="M22" s="2">
        <v>1.56</v>
      </c>
      <c r="N22" s="2">
        <v>1.56</v>
      </c>
      <c r="O22" s="2">
        <v>0.44</v>
      </c>
      <c r="P22" s="2">
        <v>0.44</v>
      </c>
      <c r="Q22" s="2">
        <v>1.93</v>
      </c>
      <c r="R22" s="2">
        <v>1.85</v>
      </c>
      <c r="S22" s="2">
        <v>1.57</v>
      </c>
      <c r="T22" s="2">
        <v>0.48</v>
      </c>
      <c r="U22" s="2">
        <v>1.57</v>
      </c>
      <c r="V22" s="2">
        <v>0.39</v>
      </c>
      <c r="W22" s="86">
        <v>0.39</v>
      </c>
      <c r="X22" s="86">
        <v>0.39</v>
      </c>
      <c r="Y22" s="2">
        <v>0.39</v>
      </c>
      <c r="Z22" s="69">
        <v>0.39</v>
      </c>
      <c r="AA22" s="2">
        <v>0.48</v>
      </c>
      <c r="AB22" s="2">
        <v>0.39</v>
      </c>
      <c r="AC22" s="2">
        <v>0.39</v>
      </c>
      <c r="AD22" s="2">
        <v>0.39</v>
      </c>
      <c r="AE22" s="2">
        <v>0.39</v>
      </c>
      <c r="AF22" s="2">
        <v>0.39</v>
      </c>
      <c r="AG22" s="2">
        <v>0.39</v>
      </c>
      <c r="AH22" s="2">
        <v>0.39</v>
      </c>
      <c r="AI22" s="86">
        <v>0.39</v>
      </c>
      <c r="AJ22" s="2">
        <v>0.48</v>
      </c>
      <c r="AK22" s="2">
        <v>0.39</v>
      </c>
      <c r="AL22" s="2">
        <v>0.48</v>
      </c>
      <c r="AM22" s="2">
        <v>0.39</v>
      </c>
      <c r="AN22" s="2">
        <v>0.39</v>
      </c>
      <c r="AO22" s="2">
        <v>0.39</v>
      </c>
      <c r="AP22" s="2">
        <v>1.83</v>
      </c>
      <c r="AQ22" s="2">
        <v>0.48</v>
      </c>
      <c r="AR22" s="2">
        <v>0.48</v>
      </c>
      <c r="AS22" s="2">
        <v>0.48</v>
      </c>
      <c r="AT22" s="2">
        <v>0.48</v>
      </c>
      <c r="AU22" s="51">
        <f>0.5*1.074</f>
        <v>0.53700000000000003</v>
      </c>
      <c r="AV22" s="2">
        <v>0.48</v>
      </c>
      <c r="AW22" s="55">
        <f>0.64*1.074</f>
        <v>0.68736000000000008</v>
      </c>
      <c r="AX22" s="55">
        <f>0.39*0.129+0.39</f>
        <v>0.44031000000000003</v>
      </c>
      <c r="AY22" s="2">
        <v>0.48</v>
      </c>
      <c r="AZ22" s="2">
        <v>0.48</v>
      </c>
      <c r="BA22" s="2">
        <v>0.48</v>
      </c>
      <c r="BB22" s="2">
        <v>0.48</v>
      </c>
      <c r="BC22" s="2">
        <v>1.83</v>
      </c>
      <c r="BD22" s="2">
        <v>0.48</v>
      </c>
      <c r="BE22" s="2">
        <v>0.48</v>
      </c>
      <c r="BF22" s="2">
        <v>0.48</v>
      </c>
      <c r="BG22" s="2">
        <v>0.48</v>
      </c>
      <c r="BH22" s="2">
        <v>0.48</v>
      </c>
      <c r="BI22" s="55">
        <f>0.64*1.074</f>
        <v>0.68736000000000008</v>
      </c>
      <c r="BJ22" s="55">
        <f>0.64*1.074</f>
        <v>0.68736000000000008</v>
      </c>
      <c r="BK22" s="2">
        <v>1.83</v>
      </c>
      <c r="BL22" s="2">
        <v>1.83</v>
      </c>
      <c r="BM22" s="2">
        <v>0.48</v>
      </c>
      <c r="BN22" s="2">
        <v>1.83</v>
      </c>
      <c r="BO22" s="51">
        <f>0.55*1.074</f>
        <v>0.59070000000000011</v>
      </c>
      <c r="BP22" s="55">
        <f>0.51*1.074</f>
        <v>0.54774</v>
      </c>
      <c r="BQ22" s="55">
        <f>0.51*1.074</f>
        <v>0.54774</v>
      </c>
      <c r="BR22" s="55">
        <f>0.51*1.074</f>
        <v>0.54774</v>
      </c>
      <c r="BS22" s="2">
        <v>0.48</v>
      </c>
      <c r="BT22" s="2">
        <v>0.39</v>
      </c>
      <c r="BU22" s="2">
        <v>0.39</v>
      </c>
      <c r="BV22" s="2">
        <v>0.39</v>
      </c>
      <c r="BW22" s="2">
        <v>0.39</v>
      </c>
      <c r="BX22" s="51">
        <f>1.1*1.074</f>
        <v>1.1814000000000002</v>
      </c>
      <c r="BY22" s="2">
        <v>1.93</v>
      </c>
      <c r="BZ22" s="2">
        <v>0.39</v>
      </c>
      <c r="CA22" s="2">
        <v>0.48</v>
      </c>
      <c r="CB22" s="2">
        <v>0.39</v>
      </c>
      <c r="CC22" s="2">
        <v>0.48</v>
      </c>
      <c r="CD22" s="2">
        <v>0.48</v>
      </c>
      <c r="CE22" s="2">
        <v>0.39</v>
      </c>
      <c r="CF22" s="2">
        <v>0.48</v>
      </c>
      <c r="CG22" s="2">
        <v>0.48</v>
      </c>
      <c r="CH22" s="2">
        <v>0.48</v>
      </c>
      <c r="CI22" s="64">
        <f>0.59*1.074</f>
        <v>0.63366</v>
      </c>
      <c r="CJ22" s="2">
        <v>0.48</v>
      </c>
      <c r="CK22" s="2">
        <v>0.48</v>
      </c>
      <c r="CL22" s="2">
        <v>0.48</v>
      </c>
      <c r="CM22" s="55">
        <f>0.51*1.074</f>
        <v>0.54774</v>
      </c>
      <c r="CN22" s="2">
        <v>0.48</v>
      </c>
      <c r="CO22" s="2">
        <v>0.39</v>
      </c>
      <c r="CP22" s="2">
        <v>0.39</v>
      </c>
      <c r="CQ22" s="2">
        <v>0.39</v>
      </c>
      <c r="CR22" s="2">
        <v>1.83</v>
      </c>
      <c r="CS22" s="2">
        <v>0.39</v>
      </c>
      <c r="CT22" s="2">
        <v>0.48</v>
      </c>
      <c r="CU22" s="2">
        <v>0.39</v>
      </c>
      <c r="CV22" s="2">
        <v>0.48</v>
      </c>
      <c r="CW22" s="2">
        <v>0.39</v>
      </c>
      <c r="CX22" s="55">
        <f>0.51*1.074</f>
        <v>0.54774</v>
      </c>
      <c r="CY22" s="2">
        <v>0.48</v>
      </c>
      <c r="CZ22" s="55">
        <f>0.51*1.074</f>
        <v>0.54774</v>
      </c>
      <c r="DA22" s="55">
        <f>0.51*1.074</f>
        <v>0.54774</v>
      </c>
    </row>
    <row r="23" spans="1:105" ht="28.5" x14ac:dyDescent="0.25">
      <c r="A23" s="10" t="s">
        <v>47</v>
      </c>
      <c r="B23" s="7" t="s">
        <v>28</v>
      </c>
      <c r="C23" s="5">
        <f>C24+C25+C26</f>
        <v>4.47</v>
      </c>
      <c r="D23" s="16">
        <f>D24+D25+D26</f>
        <v>5.1552000000000007</v>
      </c>
      <c r="E23" s="5">
        <f>E24+E25+E26</f>
        <v>4.47</v>
      </c>
      <c r="F23" s="5">
        <v>4.8600000000000003</v>
      </c>
      <c r="G23" s="5">
        <v>4.8600000000000003</v>
      </c>
      <c r="H23" s="5">
        <v>4.8600000000000003</v>
      </c>
      <c r="I23" s="5">
        <v>4.8600000000000003</v>
      </c>
      <c r="J23" s="5">
        <v>4.8600000000000003</v>
      </c>
      <c r="K23" s="5">
        <v>4.8600000000000003</v>
      </c>
      <c r="L23" s="5">
        <v>4.8600000000000003</v>
      </c>
      <c r="M23" s="5">
        <v>4.8600000000000003</v>
      </c>
      <c r="N23" s="5">
        <v>4.8600000000000003</v>
      </c>
      <c r="O23" s="16">
        <f>O24+O25+O26</f>
        <v>2.5599999999999996</v>
      </c>
      <c r="P23" s="16">
        <f>P24+P25+P26</f>
        <v>2.7300000000000004</v>
      </c>
      <c r="Q23" s="16">
        <v>3.07</v>
      </c>
      <c r="R23" s="16">
        <v>2.93</v>
      </c>
      <c r="S23" s="16">
        <v>2.4900000000000002</v>
      </c>
      <c r="T23" s="5">
        <f>T24+T25+T26</f>
        <v>4.47</v>
      </c>
      <c r="U23" s="16">
        <v>2.4900000000000002</v>
      </c>
      <c r="V23" s="5">
        <f>V24+V25+V26</f>
        <v>3.7800000000000002</v>
      </c>
      <c r="W23" s="87">
        <v>3.7786270928254</v>
      </c>
      <c r="X23" s="5">
        <f>X24+X25+X26</f>
        <v>3.7800000000000002</v>
      </c>
      <c r="Y23" s="5">
        <f t="shared" ref="Y23:BW23" si="22">Y24+Y25+Y26</f>
        <v>3.5999999999999996</v>
      </c>
      <c r="Z23" s="70">
        <f t="shared" si="22"/>
        <v>3.5999999999999996</v>
      </c>
      <c r="AA23" s="5">
        <f t="shared" si="22"/>
        <v>4.47</v>
      </c>
      <c r="AB23" s="5">
        <f t="shared" si="22"/>
        <v>3.7800000000000002</v>
      </c>
      <c r="AC23" s="5">
        <f t="shared" si="22"/>
        <v>3.7800000000000002</v>
      </c>
      <c r="AD23" s="5">
        <f t="shared" si="22"/>
        <v>3.5999999999999996</v>
      </c>
      <c r="AE23" s="5">
        <f t="shared" si="22"/>
        <v>3.7800000000000002</v>
      </c>
      <c r="AF23" s="5">
        <f t="shared" si="22"/>
        <v>3.7800000000000002</v>
      </c>
      <c r="AG23" s="5">
        <f t="shared" si="22"/>
        <v>3.7800000000000002</v>
      </c>
      <c r="AH23" s="5">
        <f t="shared" si="22"/>
        <v>3.7800000000000002</v>
      </c>
      <c r="AI23" s="5">
        <f>AI24+AI25+AI26</f>
        <v>3.7800000000000002</v>
      </c>
      <c r="AJ23" s="5">
        <f t="shared" si="22"/>
        <v>4.47</v>
      </c>
      <c r="AK23" s="5">
        <f t="shared" si="22"/>
        <v>3.7800000000000002</v>
      </c>
      <c r="AL23" s="5">
        <f t="shared" si="22"/>
        <v>4.47</v>
      </c>
      <c r="AM23" s="5">
        <f t="shared" si="22"/>
        <v>3.5999999999999996</v>
      </c>
      <c r="AN23" s="5">
        <f t="shared" si="22"/>
        <v>3.7800000000000002</v>
      </c>
      <c r="AO23" s="5">
        <f t="shared" si="22"/>
        <v>3.7800000000000002</v>
      </c>
      <c r="AP23" s="5">
        <f t="shared" si="22"/>
        <v>5.7</v>
      </c>
      <c r="AQ23" s="5">
        <f t="shared" si="22"/>
        <v>4.47</v>
      </c>
      <c r="AR23" s="5">
        <f t="shared" si="22"/>
        <v>4.47</v>
      </c>
      <c r="AS23" s="5">
        <f t="shared" si="22"/>
        <v>4.47</v>
      </c>
      <c r="AT23" s="5">
        <f t="shared" si="22"/>
        <v>4.47</v>
      </c>
      <c r="AU23" s="16">
        <f t="shared" si="22"/>
        <v>5.0127500000000005</v>
      </c>
      <c r="AV23" s="5">
        <f t="shared" si="22"/>
        <v>4.47</v>
      </c>
      <c r="AW23" s="16">
        <f t="shared" si="22"/>
        <v>6.0681000000000012</v>
      </c>
      <c r="AX23" s="16">
        <f t="shared" si="22"/>
        <v>4.0644</v>
      </c>
      <c r="AY23" s="5">
        <f t="shared" si="22"/>
        <v>4.47</v>
      </c>
      <c r="AZ23" s="5">
        <f t="shared" si="22"/>
        <v>4.47</v>
      </c>
      <c r="BA23" s="5">
        <f t="shared" si="22"/>
        <v>4.47</v>
      </c>
      <c r="BB23" s="5">
        <f t="shared" si="22"/>
        <v>4.47</v>
      </c>
      <c r="BC23" s="5">
        <f t="shared" si="22"/>
        <v>5.7</v>
      </c>
      <c r="BD23" s="5">
        <f t="shared" si="22"/>
        <v>4.47</v>
      </c>
      <c r="BE23" s="5">
        <f t="shared" si="22"/>
        <v>4.47</v>
      </c>
      <c r="BF23" s="5">
        <f t="shared" si="22"/>
        <v>4.47</v>
      </c>
      <c r="BG23" s="5">
        <f t="shared" si="22"/>
        <v>4.47</v>
      </c>
      <c r="BH23" s="5">
        <f t="shared" si="22"/>
        <v>4.47</v>
      </c>
      <c r="BI23" s="54">
        <f t="shared" si="22"/>
        <v>6.0681000000000012</v>
      </c>
      <c r="BJ23" s="54">
        <f t="shared" si="22"/>
        <v>6.0788400000000014</v>
      </c>
      <c r="BK23" s="54">
        <f t="shared" si="22"/>
        <v>5.7</v>
      </c>
      <c r="BL23" s="5">
        <f t="shared" si="22"/>
        <v>5.7</v>
      </c>
      <c r="BM23" s="5">
        <f t="shared" si="22"/>
        <v>4.47</v>
      </c>
      <c r="BN23" s="5">
        <f t="shared" si="22"/>
        <v>5.7</v>
      </c>
      <c r="BO23" s="16">
        <f t="shared" si="22"/>
        <v>3.4500628260000004</v>
      </c>
      <c r="BP23" s="54">
        <f t="shared" si="22"/>
        <v>5.06928</v>
      </c>
      <c r="BQ23" s="54">
        <f t="shared" si="22"/>
        <v>5.06928</v>
      </c>
      <c r="BR23" s="54">
        <f t="shared" si="22"/>
        <v>5.06928</v>
      </c>
      <c r="BS23" s="5">
        <f t="shared" si="22"/>
        <v>4.47</v>
      </c>
      <c r="BT23" s="5">
        <f t="shared" si="22"/>
        <v>3.7800000000000002</v>
      </c>
      <c r="BU23" s="5">
        <f t="shared" si="22"/>
        <v>3.5999999999999996</v>
      </c>
      <c r="BV23" s="5">
        <f t="shared" si="22"/>
        <v>3.7800000000000002</v>
      </c>
      <c r="BW23" s="5">
        <f t="shared" si="22"/>
        <v>3.7800000000000002</v>
      </c>
      <c r="BX23" s="51">
        <f>0.35*1.074</f>
        <v>0.37590000000000001</v>
      </c>
      <c r="BY23" s="16">
        <v>3.07</v>
      </c>
      <c r="BZ23" s="5">
        <f t="shared" ref="BZ23" si="23">BZ24+BZ25+BZ26</f>
        <v>3.7800000000000002</v>
      </c>
      <c r="CA23" s="5">
        <f>CA24+CA25+CA26</f>
        <v>4.47</v>
      </c>
      <c r="CB23" s="5">
        <f t="shared" ref="CB23" si="24">CB24+CB25+CB26</f>
        <v>3.5999999999999996</v>
      </c>
      <c r="CC23" s="5">
        <f>CC24+CC25+CC26</f>
        <v>4.47</v>
      </c>
      <c r="CD23" s="5">
        <f>CD24+CD25+CD26</f>
        <v>4.47</v>
      </c>
      <c r="CE23" s="5">
        <f t="shared" ref="CE23:CR23" si="25">CE24+CE25+CE26</f>
        <v>3.7800000000000002</v>
      </c>
      <c r="CF23" s="5">
        <f t="shared" si="25"/>
        <v>4.47</v>
      </c>
      <c r="CG23" s="5">
        <f t="shared" si="25"/>
        <v>4.47</v>
      </c>
      <c r="CH23" s="5">
        <f t="shared" si="25"/>
        <v>4.47</v>
      </c>
      <c r="CI23" s="16">
        <f t="shared" si="25"/>
        <v>5.6599800000000009</v>
      </c>
      <c r="CJ23" s="5">
        <f t="shared" si="25"/>
        <v>4.47</v>
      </c>
      <c r="CK23" s="5">
        <f t="shared" si="25"/>
        <v>4.47</v>
      </c>
      <c r="CL23" s="5">
        <f t="shared" si="25"/>
        <v>4.47</v>
      </c>
      <c r="CM23" s="54">
        <f t="shared" si="25"/>
        <v>5.06928</v>
      </c>
      <c r="CN23" s="5">
        <f t="shared" si="25"/>
        <v>4.47</v>
      </c>
      <c r="CO23" s="5">
        <f t="shared" si="25"/>
        <v>3.7800000000000002</v>
      </c>
      <c r="CP23" s="5">
        <f t="shared" si="25"/>
        <v>3.7800000000000002</v>
      </c>
      <c r="CQ23" s="5">
        <f t="shared" si="25"/>
        <v>3.7800000000000002</v>
      </c>
      <c r="CR23" s="5">
        <f t="shared" si="25"/>
        <v>5.7</v>
      </c>
      <c r="CS23" s="5">
        <f>CS24+CS25+CS26</f>
        <v>3.7800000000000002</v>
      </c>
      <c r="CT23" s="5">
        <f>CT24+CT25+CT26</f>
        <v>4.47</v>
      </c>
      <c r="CU23" s="5">
        <f t="shared" ref="CU23:CW23" si="26">CU24+CU25+CU26</f>
        <v>3.7800000000000002</v>
      </c>
      <c r="CV23" s="5">
        <f>CV24+CV25+CV26</f>
        <v>4.47</v>
      </c>
      <c r="CW23" s="5">
        <f t="shared" si="26"/>
        <v>3.7800000000000002</v>
      </c>
      <c r="CX23" s="54">
        <f>CX24+CX25+CX26</f>
        <v>5.06928</v>
      </c>
      <c r="CY23" s="5">
        <f>CY24+CY25+CY26</f>
        <v>4.47</v>
      </c>
      <c r="CZ23" s="54">
        <f>CZ24+CZ25+CZ26</f>
        <v>5.06928</v>
      </c>
      <c r="DA23" s="54">
        <f>DA24+DA25+DA26</f>
        <v>5.06928</v>
      </c>
    </row>
    <row r="24" spans="1:105" x14ac:dyDescent="0.25">
      <c r="A24" s="9" t="s">
        <v>29</v>
      </c>
      <c r="B24" s="1" t="s">
        <v>30</v>
      </c>
      <c r="C24" s="3">
        <v>2.71</v>
      </c>
      <c r="D24" s="53">
        <f>2.91*1.074</f>
        <v>3.1253400000000005</v>
      </c>
      <c r="E24" s="3">
        <v>2.71</v>
      </c>
      <c r="F24" s="3">
        <v>2.38</v>
      </c>
      <c r="G24" s="3">
        <v>2.38</v>
      </c>
      <c r="H24" s="3">
        <v>2.38</v>
      </c>
      <c r="I24" s="3">
        <v>2.38</v>
      </c>
      <c r="J24" s="3">
        <v>2.38</v>
      </c>
      <c r="K24" s="3">
        <v>2.38</v>
      </c>
      <c r="L24" s="3">
        <v>2.38</v>
      </c>
      <c r="M24" s="3">
        <v>2.38</v>
      </c>
      <c r="N24" s="3">
        <v>2.38</v>
      </c>
      <c r="O24" s="3">
        <f>0.14+0.95</f>
        <v>1.0899999999999999</v>
      </c>
      <c r="P24" s="3">
        <v>1.6</v>
      </c>
      <c r="Q24" s="3"/>
      <c r="R24" s="3"/>
      <c r="S24" s="3"/>
      <c r="T24" s="3">
        <v>2.71</v>
      </c>
      <c r="U24" s="3"/>
      <c r="V24" s="3">
        <v>2.39</v>
      </c>
      <c r="W24" s="91">
        <v>2.3886270928254003</v>
      </c>
      <c r="X24" s="3">
        <v>2.39</v>
      </c>
      <c r="Y24" s="3">
        <v>2.21</v>
      </c>
      <c r="Z24" s="71">
        <v>2.21</v>
      </c>
      <c r="AA24" s="3">
        <v>2.71</v>
      </c>
      <c r="AB24" s="3">
        <v>2.39</v>
      </c>
      <c r="AC24" s="3">
        <v>2.39</v>
      </c>
      <c r="AD24" s="3">
        <v>2.21</v>
      </c>
      <c r="AE24" s="3">
        <v>2.39</v>
      </c>
      <c r="AF24" s="3">
        <v>2.39</v>
      </c>
      <c r="AG24" s="3">
        <v>2.39</v>
      </c>
      <c r="AH24" s="3">
        <v>2.39</v>
      </c>
      <c r="AI24" s="3">
        <v>2.39</v>
      </c>
      <c r="AJ24" s="3">
        <v>2.71</v>
      </c>
      <c r="AK24" s="3">
        <v>2.39</v>
      </c>
      <c r="AL24" s="3">
        <v>2.71</v>
      </c>
      <c r="AM24" s="3">
        <v>2.21</v>
      </c>
      <c r="AN24" s="3">
        <v>2.39</v>
      </c>
      <c r="AO24" s="3">
        <v>2.39</v>
      </c>
      <c r="AP24" s="3">
        <v>2.79</v>
      </c>
      <c r="AQ24" s="3">
        <v>2.71</v>
      </c>
      <c r="AR24" s="3">
        <v>2.71</v>
      </c>
      <c r="AS24" s="3">
        <v>2.71</v>
      </c>
      <c r="AT24" s="3">
        <v>2.71</v>
      </c>
      <c r="AU24" s="53">
        <f>2.83*1.073</f>
        <v>3.0365899999999999</v>
      </c>
      <c r="AV24" s="3">
        <v>2.71</v>
      </c>
      <c r="AW24" s="51">
        <f>3.48*1.074</f>
        <v>3.7375200000000004</v>
      </c>
      <c r="AX24" s="56">
        <f>2.21*0.129+2.21</f>
        <v>2.4950899999999998</v>
      </c>
      <c r="AY24" s="3">
        <v>2.71</v>
      </c>
      <c r="AZ24" s="3">
        <v>2.71</v>
      </c>
      <c r="BA24" s="3">
        <v>2.71</v>
      </c>
      <c r="BB24" s="3">
        <v>2.71</v>
      </c>
      <c r="BC24" s="3">
        <v>2.79</v>
      </c>
      <c r="BD24" s="3">
        <v>2.71</v>
      </c>
      <c r="BE24" s="3">
        <v>2.71</v>
      </c>
      <c r="BF24" s="3">
        <v>2.71</v>
      </c>
      <c r="BG24" s="3">
        <v>2.71</v>
      </c>
      <c r="BH24" s="3">
        <v>2.71</v>
      </c>
      <c r="BI24" s="56">
        <f>3.48*1.074</f>
        <v>3.7375200000000004</v>
      </c>
      <c r="BJ24" s="55">
        <f>3.49*1.074</f>
        <v>3.7482600000000006</v>
      </c>
      <c r="BK24" s="3">
        <v>2.79</v>
      </c>
      <c r="BL24" s="3">
        <v>2.79</v>
      </c>
      <c r="BM24" s="3">
        <v>2.71</v>
      </c>
      <c r="BN24" s="3">
        <v>2.79</v>
      </c>
      <c r="BO24" s="53">
        <f>1.887669*1.074</f>
        <v>2.0273565060000003</v>
      </c>
      <c r="BP24" s="56">
        <f>2.86*1.074</f>
        <v>3.0716399999999999</v>
      </c>
      <c r="BQ24" s="56">
        <f>2.86*1.074</f>
        <v>3.0716399999999999</v>
      </c>
      <c r="BR24" s="56">
        <f>2.86*1.074</f>
        <v>3.0716399999999999</v>
      </c>
      <c r="BS24" s="3">
        <v>2.71</v>
      </c>
      <c r="BT24" s="3">
        <v>2.39</v>
      </c>
      <c r="BU24" s="3">
        <v>2.21</v>
      </c>
      <c r="BV24" s="3">
        <v>2.39</v>
      </c>
      <c r="BW24" s="3">
        <v>2.39</v>
      </c>
      <c r="BX24" s="16">
        <f>BX25+BX26+BX27</f>
        <v>5.5955400000000006</v>
      </c>
      <c r="BY24" s="3"/>
      <c r="BZ24" s="3">
        <v>2.39</v>
      </c>
      <c r="CA24" s="3">
        <v>2.71</v>
      </c>
      <c r="CB24" s="3">
        <v>2.21</v>
      </c>
      <c r="CC24" s="3">
        <v>2.71</v>
      </c>
      <c r="CD24" s="3">
        <v>2.71</v>
      </c>
      <c r="CE24" s="3">
        <v>2.39</v>
      </c>
      <c r="CF24" s="3">
        <v>2.71</v>
      </c>
      <c r="CG24" s="3">
        <v>2.71</v>
      </c>
      <c r="CH24" s="3">
        <v>2.71</v>
      </c>
      <c r="CI24" s="51">
        <f>3.1*1.074</f>
        <v>3.3294000000000001</v>
      </c>
      <c r="CJ24" s="3">
        <v>2.71</v>
      </c>
      <c r="CK24" s="3">
        <v>2.71</v>
      </c>
      <c r="CL24" s="3">
        <v>2.71</v>
      </c>
      <c r="CM24" s="56">
        <f>2.86*1.074</f>
        <v>3.0716399999999999</v>
      </c>
      <c r="CN24" s="3">
        <v>2.71</v>
      </c>
      <c r="CO24" s="3">
        <v>2.39</v>
      </c>
      <c r="CP24" s="3">
        <v>2.39</v>
      </c>
      <c r="CQ24" s="3">
        <v>2.39</v>
      </c>
      <c r="CR24" s="3">
        <v>2.79</v>
      </c>
      <c r="CS24" s="3">
        <v>2.39</v>
      </c>
      <c r="CT24" s="3">
        <v>2.71</v>
      </c>
      <c r="CU24" s="3">
        <v>2.39</v>
      </c>
      <c r="CV24" s="3">
        <v>2.71</v>
      </c>
      <c r="CW24" s="3">
        <v>2.39</v>
      </c>
      <c r="CX24" s="56">
        <f>2.86*1.074</f>
        <v>3.0716399999999999</v>
      </c>
      <c r="CY24" s="3">
        <v>2.71</v>
      </c>
      <c r="CZ24" s="56">
        <f>2.86*1.074</f>
        <v>3.0716399999999999</v>
      </c>
      <c r="DA24" s="56">
        <f>2.86*1.074</f>
        <v>3.0716399999999999</v>
      </c>
    </row>
    <row r="25" spans="1:105" x14ac:dyDescent="0.25">
      <c r="A25" s="9" t="s">
        <v>31</v>
      </c>
      <c r="B25" s="1" t="s">
        <v>32</v>
      </c>
      <c r="C25" s="3">
        <v>1.76</v>
      </c>
      <c r="D25" s="53">
        <f>1.89*1.074</f>
        <v>2.0298600000000002</v>
      </c>
      <c r="E25" s="3">
        <v>1.76</v>
      </c>
      <c r="F25" s="3">
        <v>2.15</v>
      </c>
      <c r="G25" s="3">
        <v>2.15</v>
      </c>
      <c r="H25" s="3">
        <v>2.15</v>
      </c>
      <c r="I25" s="3">
        <v>2.15</v>
      </c>
      <c r="J25" s="3">
        <v>2.15</v>
      </c>
      <c r="K25" s="3">
        <v>2.15</v>
      </c>
      <c r="L25" s="3">
        <v>2.15</v>
      </c>
      <c r="M25" s="3">
        <v>2.15</v>
      </c>
      <c r="N25" s="3">
        <v>2.15</v>
      </c>
      <c r="O25" s="3">
        <v>1.47</v>
      </c>
      <c r="P25" s="3">
        <f>1.07+0.06</f>
        <v>1.1300000000000001</v>
      </c>
      <c r="Q25" s="3">
        <v>2.66</v>
      </c>
      <c r="R25" s="3">
        <v>2.54</v>
      </c>
      <c r="S25" s="3">
        <v>2.16</v>
      </c>
      <c r="T25" s="3">
        <v>1.76</v>
      </c>
      <c r="U25" s="3">
        <v>2.16</v>
      </c>
      <c r="V25" s="3">
        <v>1.39</v>
      </c>
      <c r="W25" s="92">
        <v>1.39</v>
      </c>
      <c r="X25" s="3">
        <v>1.39</v>
      </c>
      <c r="Y25" s="3">
        <v>1.39</v>
      </c>
      <c r="Z25" s="75">
        <v>1.39</v>
      </c>
      <c r="AA25" s="3">
        <v>1.76</v>
      </c>
      <c r="AB25" s="3">
        <v>1.39</v>
      </c>
      <c r="AC25" s="3">
        <v>1.39</v>
      </c>
      <c r="AD25" s="3">
        <v>1.39</v>
      </c>
      <c r="AE25" s="3">
        <v>1.39</v>
      </c>
      <c r="AF25" s="3">
        <v>1.39</v>
      </c>
      <c r="AG25" s="3">
        <v>1.39</v>
      </c>
      <c r="AH25" s="3">
        <v>1.39</v>
      </c>
      <c r="AI25" s="3">
        <v>1.39</v>
      </c>
      <c r="AJ25" s="3">
        <v>1.76</v>
      </c>
      <c r="AK25" s="3">
        <v>1.39</v>
      </c>
      <c r="AL25" s="3">
        <v>1.76</v>
      </c>
      <c r="AM25" s="3">
        <v>1.39</v>
      </c>
      <c r="AN25" s="3">
        <v>1.39</v>
      </c>
      <c r="AO25" s="3">
        <v>1.39</v>
      </c>
      <c r="AP25" s="3">
        <v>2.52</v>
      </c>
      <c r="AQ25" s="3">
        <v>1.76</v>
      </c>
      <c r="AR25" s="3">
        <v>1.76</v>
      </c>
      <c r="AS25" s="3">
        <v>1.76</v>
      </c>
      <c r="AT25" s="3">
        <v>1.76</v>
      </c>
      <c r="AU25" s="53">
        <f>1.84*1.074</f>
        <v>1.9761600000000001</v>
      </c>
      <c r="AV25" s="3">
        <v>1.76</v>
      </c>
      <c r="AW25" s="51">
        <f>1.55*1.074</f>
        <v>1.6647000000000001</v>
      </c>
      <c r="AX25" s="56">
        <f>1.39*0.129+1.39</f>
        <v>1.56931</v>
      </c>
      <c r="AY25" s="3">
        <v>1.76</v>
      </c>
      <c r="AZ25" s="3">
        <v>1.76</v>
      </c>
      <c r="BA25" s="3">
        <v>1.76</v>
      </c>
      <c r="BB25" s="3">
        <v>1.76</v>
      </c>
      <c r="BC25" s="3">
        <v>2.52</v>
      </c>
      <c r="BD25" s="3">
        <v>1.76</v>
      </c>
      <c r="BE25" s="3">
        <v>1.76</v>
      </c>
      <c r="BF25" s="3">
        <v>1.76</v>
      </c>
      <c r="BG25" s="3">
        <v>1.76</v>
      </c>
      <c r="BH25" s="3">
        <v>1.76</v>
      </c>
      <c r="BI25" s="56">
        <f>1.55*1.074</f>
        <v>1.6647000000000001</v>
      </c>
      <c r="BJ25" s="55">
        <f>1.55*1.074</f>
        <v>1.6647000000000001</v>
      </c>
      <c r="BK25" s="3">
        <v>2.52</v>
      </c>
      <c r="BL25" s="3">
        <v>2.52</v>
      </c>
      <c r="BM25" s="3">
        <v>1.76</v>
      </c>
      <c r="BN25" s="3">
        <v>2.52</v>
      </c>
      <c r="BO25" s="53">
        <f>1.32468*1.074</f>
        <v>1.4227063200000001</v>
      </c>
      <c r="BP25" s="56">
        <f>1.86*1.074</f>
        <v>1.9976400000000003</v>
      </c>
      <c r="BQ25" s="56">
        <f>1.86*1.074</f>
        <v>1.9976400000000003</v>
      </c>
      <c r="BR25" s="56">
        <f>1.86*1.074</f>
        <v>1.9976400000000003</v>
      </c>
      <c r="BS25" s="3">
        <v>1.76</v>
      </c>
      <c r="BT25" s="3">
        <v>1.39</v>
      </c>
      <c r="BU25" s="3">
        <v>1.39</v>
      </c>
      <c r="BV25" s="3">
        <v>1.39</v>
      </c>
      <c r="BW25" s="3">
        <v>1.39</v>
      </c>
      <c r="BX25" s="51">
        <f>2.93*1.074</f>
        <v>3.1468200000000004</v>
      </c>
      <c r="BY25" s="3">
        <v>2.66</v>
      </c>
      <c r="BZ25" s="3">
        <v>1.39</v>
      </c>
      <c r="CA25" s="3">
        <v>1.76</v>
      </c>
      <c r="CB25" s="3">
        <v>1.39</v>
      </c>
      <c r="CC25" s="3">
        <v>1.76</v>
      </c>
      <c r="CD25" s="3">
        <v>1.76</v>
      </c>
      <c r="CE25" s="3">
        <v>1.39</v>
      </c>
      <c r="CF25" s="3">
        <v>1.76</v>
      </c>
      <c r="CG25" s="3">
        <v>1.76</v>
      </c>
      <c r="CH25" s="3">
        <v>1.76</v>
      </c>
      <c r="CI25" s="51">
        <f>1.55*1.074</f>
        <v>1.6647000000000001</v>
      </c>
      <c r="CJ25" s="3">
        <v>1.76</v>
      </c>
      <c r="CK25" s="3">
        <v>1.76</v>
      </c>
      <c r="CL25" s="3">
        <v>1.76</v>
      </c>
      <c r="CM25" s="56">
        <f>1.86*1.074</f>
        <v>1.9976400000000003</v>
      </c>
      <c r="CN25" s="3">
        <v>1.76</v>
      </c>
      <c r="CO25" s="3">
        <v>1.39</v>
      </c>
      <c r="CP25" s="3">
        <v>1.39</v>
      </c>
      <c r="CQ25" s="3">
        <v>1.39</v>
      </c>
      <c r="CR25" s="3">
        <v>2.52</v>
      </c>
      <c r="CS25" s="3">
        <v>1.39</v>
      </c>
      <c r="CT25" s="3">
        <v>1.76</v>
      </c>
      <c r="CU25" s="3">
        <v>1.39</v>
      </c>
      <c r="CV25" s="3">
        <v>1.76</v>
      </c>
      <c r="CW25" s="3">
        <v>1.39</v>
      </c>
      <c r="CX25" s="56">
        <f>1.86*1.074</f>
        <v>1.9976400000000003</v>
      </c>
      <c r="CY25" s="3">
        <v>1.76</v>
      </c>
      <c r="CZ25" s="56">
        <f>1.86*1.074</f>
        <v>1.9976400000000003</v>
      </c>
      <c r="DA25" s="56">
        <f>1.86*1.074</f>
        <v>1.9976400000000003</v>
      </c>
    </row>
    <row r="26" spans="1:105" x14ac:dyDescent="0.25">
      <c r="A26" s="18" t="s">
        <v>33</v>
      </c>
      <c r="B26" s="19" t="s">
        <v>34</v>
      </c>
      <c r="C26" s="4"/>
      <c r="D26" s="4"/>
      <c r="E26" s="4"/>
      <c r="F26" s="17">
        <v>0.33</v>
      </c>
      <c r="G26" s="17">
        <v>0.33</v>
      </c>
      <c r="H26" s="17">
        <v>0.33</v>
      </c>
      <c r="I26" s="17">
        <v>0.33</v>
      </c>
      <c r="J26" s="17">
        <v>0.33</v>
      </c>
      <c r="K26" s="17">
        <v>0.33</v>
      </c>
      <c r="L26" s="17">
        <v>0.33</v>
      </c>
      <c r="M26" s="17">
        <v>0.33</v>
      </c>
      <c r="N26" s="17">
        <v>0.33</v>
      </c>
      <c r="O26" s="4"/>
      <c r="P26" s="4"/>
      <c r="Q26" s="17">
        <v>0.41</v>
      </c>
      <c r="R26" s="17">
        <v>0.39</v>
      </c>
      <c r="S26" s="17">
        <v>0.33</v>
      </c>
      <c r="T26" s="4"/>
      <c r="U26" s="17">
        <v>0.33</v>
      </c>
      <c r="V26" s="4"/>
      <c r="X26" s="4"/>
      <c r="Y26" s="4"/>
      <c r="Z26" s="72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>
        <v>0.39</v>
      </c>
      <c r="AQ26" s="4"/>
      <c r="AR26" s="4"/>
      <c r="AS26" s="4"/>
      <c r="AT26" s="4"/>
      <c r="AU26" s="4"/>
      <c r="AV26" s="4"/>
      <c r="AW26" s="51">
        <f>0.62*1.074</f>
        <v>0.66588000000000003</v>
      </c>
      <c r="AX26" s="4"/>
      <c r="AY26" s="4"/>
      <c r="AZ26" s="4"/>
      <c r="BA26" s="4"/>
      <c r="BB26" s="4"/>
      <c r="BC26" s="4">
        <v>0.39</v>
      </c>
      <c r="BD26" s="4"/>
      <c r="BE26" s="4"/>
      <c r="BF26" s="4"/>
      <c r="BG26" s="4"/>
      <c r="BH26" s="4"/>
      <c r="BI26" s="101">
        <f>0.62*1.074</f>
        <v>0.66588000000000003</v>
      </c>
      <c r="BJ26" s="55">
        <f>0.62*1.074</f>
        <v>0.66588000000000003</v>
      </c>
      <c r="BK26" s="63">
        <v>0.39</v>
      </c>
      <c r="BL26" s="17">
        <v>0.39</v>
      </c>
      <c r="BM26" s="17"/>
      <c r="BN26" s="17">
        <v>0.39</v>
      </c>
      <c r="BO26" s="4"/>
      <c r="BP26" s="57"/>
      <c r="BQ26" s="57"/>
      <c r="BR26" s="57"/>
      <c r="BS26" s="4"/>
      <c r="BT26" s="4"/>
      <c r="BU26" s="4"/>
      <c r="BV26" s="4"/>
      <c r="BW26" s="4"/>
      <c r="BX26" s="51">
        <f>1.76*1.074</f>
        <v>1.8902400000000001</v>
      </c>
      <c r="BY26" s="17">
        <v>0.41</v>
      </c>
      <c r="BZ26" s="4"/>
      <c r="CA26" s="4"/>
      <c r="CB26" s="4"/>
      <c r="CC26" s="4"/>
      <c r="CD26" s="4"/>
      <c r="CE26" s="4"/>
      <c r="CF26" s="4"/>
      <c r="CG26" s="4"/>
      <c r="CH26" s="4"/>
      <c r="CI26" s="51">
        <f>0.62*1.074</f>
        <v>0.66588000000000003</v>
      </c>
      <c r="CJ26" s="4"/>
      <c r="CK26" s="4"/>
      <c r="CL26" s="4"/>
      <c r="CM26" s="57"/>
      <c r="CN26" s="4"/>
      <c r="CO26" s="4"/>
      <c r="CP26" s="4"/>
      <c r="CQ26" s="4"/>
      <c r="CR26" s="4">
        <v>0.39</v>
      </c>
      <c r="CS26" s="4"/>
      <c r="CT26" s="4"/>
      <c r="CU26" s="4"/>
      <c r="CV26" s="4"/>
      <c r="CW26" s="4"/>
      <c r="CX26" s="57"/>
      <c r="CY26" s="4"/>
      <c r="CZ26" s="57"/>
      <c r="DA26" s="57"/>
    </row>
    <row r="27" spans="1:105" ht="42.75" x14ac:dyDescent="0.25">
      <c r="A27" s="10" t="s">
        <v>48</v>
      </c>
      <c r="B27" s="7" t="s">
        <v>18</v>
      </c>
      <c r="C27" s="5">
        <v>0.37</v>
      </c>
      <c r="D27" s="16">
        <f>0.4*1.074</f>
        <v>0.42960000000000004</v>
      </c>
      <c r="E27" s="5">
        <v>0.37</v>
      </c>
      <c r="F27" s="5"/>
      <c r="G27" s="5"/>
      <c r="H27" s="5"/>
      <c r="I27" s="5"/>
      <c r="J27" s="5"/>
      <c r="K27" s="5"/>
      <c r="L27" s="5"/>
      <c r="M27" s="5"/>
      <c r="N27" s="5"/>
      <c r="O27" s="5">
        <v>1.39</v>
      </c>
      <c r="P27" s="5">
        <v>1.49</v>
      </c>
      <c r="Q27" s="5"/>
      <c r="R27" s="5"/>
      <c r="S27" s="5"/>
      <c r="T27" s="5">
        <v>0.37</v>
      </c>
      <c r="U27" s="5"/>
      <c r="V27" s="5">
        <v>0.97</v>
      </c>
      <c r="W27" s="83">
        <v>0.97430061978671567</v>
      </c>
      <c r="X27" s="5">
        <v>1.31</v>
      </c>
      <c r="Y27" s="5">
        <v>1.24</v>
      </c>
      <c r="Z27" s="79">
        <v>1.24</v>
      </c>
      <c r="AA27" s="5">
        <v>0.37</v>
      </c>
      <c r="AB27" s="5">
        <v>0.97</v>
      </c>
      <c r="AC27" s="5">
        <v>0.97</v>
      </c>
      <c r="AD27" s="5">
        <v>1.24</v>
      </c>
      <c r="AE27" s="5">
        <v>0.97</v>
      </c>
      <c r="AF27" s="5">
        <v>0.97</v>
      </c>
      <c r="AG27" s="5">
        <v>0.97</v>
      </c>
      <c r="AH27" s="5">
        <v>0.97</v>
      </c>
      <c r="AI27" s="5">
        <v>1.31</v>
      </c>
      <c r="AJ27" s="5">
        <v>0.37</v>
      </c>
      <c r="AK27" s="5">
        <v>0.97</v>
      </c>
      <c r="AL27" s="5">
        <v>0.37</v>
      </c>
      <c r="AM27" s="5">
        <v>1.24</v>
      </c>
      <c r="AN27" s="5">
        <v>0.97</v>
      </c>
      <c r="AO27" s="5">
        <v>0.97</v>
      </c>
      <c r="AP27" s="5"/>
      <c r="AQ27" s="5">
        <v>0.37</v>
      </c>
      <c r="AR27" s="5">
        <v>0.37</v>
      </c>
      <c r="AS27" s="5">
        <v>0.37</v>
      </c>
      <c r="AT27" s="5">
        <v>0.37</v>
      </c>
      <c r="AU27" s="16">
        <f>0.4*1.074</f>
        <v>0.42960000000000004</v>
      </c>
      <c r="AV27" s="5">
        <v>0.37</v>
      </c>
      <c r="AW27" s="16">
        <f>3.47*1.074</f>
        <v>3.7267800000000006</v>
      </c>
      <c r="AX27" s="54">
        <f>1.24*0.129+1.24</f>
        <v>1.3999600000000001</v>
      </c>
      <c r="AY27" s="5">
        <v>0.37</v>
      </c>
      <c r="AZ27" s="5">
        <v>0.37</v>
      </c>
      <c r="BA27" s="5">
        <v>0.37</v>
      </c>
      <c r="BB27" s="5">
        <v>0.37</v>
      </c>
      <c r="BC27" s="5"/>
      <c r="BD27" s="5">
        <v>0.37</v>
      </c>
      <c r="BE27" s="5">
        <v>0.37</v>
      </c>
      <c r="BF27" s="5">
        <v>0.37</v>
      </c>
      <c r="BG27" s="5">
        <v>0.37</v>
      </c>
      <c r="BH27" s="5">
        <v>0.37</v>
      </c>
      <c r="BI27" s="54">
        <f>0.46*1.074</f>
        <v>0.49404000000000003</v>
      </c>
      <c r="BJ27" s="54">
        <f>0.46*1.074</f>
        <v>0.49404000000000003</v>
      </c>
      <c r="BK27" s="63"/>
      <c r="BL27" s="5"/>
      <c r="BM27" s="5">
        <v>0.37</v>
      </c>
      <c r="BN27" s="5"/>
      <c r="BO27" s="16">
        <f>0.42*1.074</f>
        <v>0.45108000000000004</v>
      </c>
      <c r="BP27" s="54">
        <f>0.39*1.074</f>
        <v>0.41886000000000007</v>
      </c>
      <c r="BQ27" s="54">
        <f>0.39*1.074</f>
        <v>0.41886000000000007</v>
      </c>
      <c r="BR27" s="54">
        <f>0.39*1.074</f>
        <v>0.41886000000000007</v>
      </c>
      <c r="BS27" s="5">
        <v>0.37</v>
      </c>
      <c r="BT27" s="5">
        <v>0.97</v>
      </c>
      <c r="BU27" s="5">
        <v>1.24</v>
      </c>
      <c r="BV27" s="5">
        <v>0.97</v>
      </c>
      <c r="BW27" s="5">
        <v>0.97</v>
      </c>
      <c r="BX27" s="51">
        <f>0.52*1.074</f>
        <v>0.55848000000000009</v>
      </c>
      <c r="BY27" s="5"/>
      <c r="BZ27" s="5">
        <v>0.97</v>
      </c>
      <c r="CA27" s="5">
        <v>0.37</v>
      </c>
      <c r="CB27" s="5">
        <v>1.24</v>
      </c>
      <c r="CC27" s="5">
        <v>0.37</v>
      </c>
      <c r="CD27" s="5">
        <v>0.37</v>
      </c>
      <c r="CE27" s="5">
        <v>0.97</v>
      </c>
      <c r="CF27" s="5">
        <v>0.37</v>
      </c>
      <c r="CG27" s="5">
        <v>0.37</v>
      </c>
      <c r="CH27" s="5">
        <v>0.37</v>
      </c>
      <c r="CI27" s="16">
        <f>0.47*1.074</f>
        <v>0.50478000000000001</v>
      </c>
      <c r="CJ27" s="5">
        <v>0.37</v>
      </c>
      <c r="CK27" s="5">
        <v>0.37</v>
      </c>
      <c r="CL27" s="5">
        <v>0.37</v>
      </c>
      <c r="CM27" s="54">
        <f>0.39*1.074</f>
        <v>0.41886000000000007</v>
      </c>
      <c r="CN27" s="5">
        <v>0.37</v>
      </c>
      <c r="CO27" s="5">
        <v>0.97</v>
      </c>
      <c r="CP27" s="5">
        <v>0.97</v>
      </c>
      <c r="CQ27" s="5">
        <v>0.97</v>
      </c>
      <c r="CR27" s="5"/>
      <c r="CS27" s="5">
        <v>0.97</v>
      </c>
      <c r="CT27" s="5">
        <v>0.37</v>
      </c>
      <c r="CU27" s="5">
        <v>0.97</v>
      </c>
      <c r="CV27" s="5">
        <v>0.37</v>
      </c>
      <c r="CW27" s="5">
        <v>0.97</v>
      </c>
      <c r="CX27" s="54">
        <f>0.39*1.074</f>
        <v>0.41886000000000007</v>
      </c>
      <c r="CY27" s="5">
        <v>0.37</v>
      </c>
      <c r="CZ27" s="54">
        <f>0.39*1.074</f>
        <v>0.41886000000000007</v>
      </c>
      <c r="DA27" s="54">
        <f>0.39*1.074</f>
        <v>0.41886000000000007</v>
      </c>
    </row>
    <row r="28" spans="1:105" x14ac:dyDescent="0.25">
      <c r="A28" s="10" t="s">
        <v>49</v>
      </c>
      <c r="B28" s="7" t="s">
        <v>35</v>
      </c>
      <c r="C28" s="5">
        <v>2.58</v>
      </c>
      <c r="D28" s="16">
        <f>2.77*1.074</f>
        <v>2.9749800000000004</v>
      </c>
      <c r="E28" s="5">
        <v>2.58</v>
      </c>
      <c r="F28" s="5">
        <v>1.52</v>
      </c>
      <c r="G28" s="5">
        <v>1.52</v>
      </c>
      <c r="H28" s="5">
        <v>1.52</v>
      </c>
      <c r="I28" s="5">
        <v>1.52</v>
      </c>
      <c r="J28" s="5">
        <v>1.52</v>
      </c>
      <c r="K28" s="5">
        <v>1.52</v>
      </c>
      <c r="L28" s="5">
        <v>1.52</v>
      </c>
      <c r="M28" s="5">
        <v>1.52</v>
      </c>
      <c r="N28" s="5">
        <v>1.52</v>
      </c>
      <c r="O28" s="5">
        <v>2.67</v>
      </c>
      <c r="P28" s="5">
        <v>2.67</v>
      </c>
      <c r="Q28" s="5">
        <v>1.89</v>
      </c>
      <c r="R28" s="5">
        <v>1.8</v>
      </c>
      <c r="S28" s="5">
        <v>1.54</v>
      </c>
      <c r="T28" s="5">
        <v>2.58</v>
      </c>
      <c r="U28" s="5">
        <v>1.54</v>
      </c>
      <c r="V28" s="5">
        <v>3.33</v>
      </c>
      <c r="W28" s="82">
        <v>3.3231495602663816</v>
      </c>
      <c r="X28" s="5">
        <v>3</v>
      </c>
      <c r="Y28" s="5">
        <v>2.66</v>
      </c>
      <c r="Z28" s="70">
        <v>2.66</v>
      </c>
      <c r="AA28" s="5">
        <v>2.58</v>
      </c>
      <c r="AB28" s="5">
        <v>3.33</v>
      </c>
      <c r="AC28" s="5">
        <v>3.33</v>
      </c>
      <c r="AD28" s="5">
        <v>2.66</v>
      </c>
      <c r="AE28" s="5">
        <v>3.33</v>
      </c>
      <c r="AF28" s="5">
        <v>3.33</v>
      </c>
      <c r="AG28" s="5">
        <v>3.33</v>
      </c>
      <c r="AH28" s="5">
        <v>3.33</v>
      </c>
      <c r="AI28" s="5">
        <v>3</v>
      </c>
      <c r="AJ28" s="5">
        <v>2.58</v>
      </c>
      <c r="AK28" s="5">
        <v>3.33</v>
      </c>
      <c r="AL28" s="5">
        <v>2.58</v>
      </c>
      <c r="AM28" s="5">
        <v>2.66</v>
      </c>
      <c r="AN28" s="5">
        <v>3.33</v>
      </c>
      <c r="AO28" s="5">
        <v>3.33</v>
      </c>
      <c r="AP28" s="5">
        <v>1.79</v>
      </c>
      <c r="AQ28" s="5">
        <v>2.58</v>
      </c>
      <c r="AR28" s="5">
        <v>2.58</v>
      </c>
      <c r="AS28" s="5">
        <v>2.58</v>
      </c>
      <c r="AT28" s="5">
        <v>2.58</v>
      </c>
      <c r="AU28" s="54">
        <f>2.7*1.074</f>
        <v>2.8998000000000004</v>
      </c>
      <c r="AV28" s="5">
        <v>2.58</v>
      </c>
      <c r="AW28" s="16">
        <f>2.74*1.074</f>
        <v>2.9427600000000003</v>
      </c>
      <c r="AX28" s="16">
        <f>2.66*0.129+2.66</f>
        <v>3.0031400000000001</v>
      </c>
      <c r="AY28" s="5">
        <v>2.58</v>
      </c>
      <c r="AZ28" s="5">
        <v>2.58</v>
      </c>
      <c r="BA28" s="5">
        <v>2.58</v>
      </c>
      <c r="BB28" s="5">
        <v>2.58</v>
      </c>
      <c r="BC28" s="5">
        <v>1.79</v>
      </c>
      <c r="BD28" s="5">
        <v>2.58</v>
      </c>
      <c r="BE28" s="5">
        <v>2.58</v>
      </c>
      <c r="BF28" s="5">
        <v>2.58</v>
      </c>
      <c r="BG28" s="5">
        <v>2.58</v>
      </c>
      <c r="BH28" s="5">
        <v>2.58</v>
      </c>
      <c r="BI28" s="54">
        <f>2.25*1.074</f>
        <v>2.4165000000000001</v>
      </c>
      <c r="BJ28" s="54">
        <f>2.74*1.074</f>
        <v>2.9427600000000003</v>
      </c>
      <c r="BK28" s="5">
        <v>1.79</v>
      </c>
      <c r="BL28" s="5">
        <v>1.79</v>
      </c>
      <c r="BM28" s="5">
        <v>2.58</v>
      </c>
      <c r="BN28" s="5">
        <v>1.79</v>
      </c>
      <c r="BO28" s="16">
        <f>3.02*1.074</f>
        <v>3.2434800000000004</v>
      </c>
      <c r="BP28" s="54">
        <f>2.73*1.074</f>
        <v>2.9320200000000001</v>
      </c>
      <c r="BQ28" s="54">
        <f>2.73*1.074</f>
        <v>2.9320200000000001</v>
      </c>
      <c r="BR28" s="54">
        <f>2.73*1.074</f>
        <v>2.9320200000000001</v>
      </c>
      <c r="BS28" s="5">
        <v>2.58</v>
      </c>
      <c r="BT28" s="5">
        <v>3.33</v>
      </c>
      <c r="BU28" s="5">
        <v>2.66</v>
      </c>
      <c r="BV28" s="5">
        <v>3.33</v>
      </c>
      <c r="BW28" s="5">
        <v>3.33</v>
      </c>
      <c r="BX28" s="16">
        <f>0.38*1.074</f>
        <v>0.40812000000000004</v>
      </c>
      <c r="BY28" s="5">
        <v>1.89</v>
      </c>
      <c r="BZ28" s="5">
        <v>3.33</v>
      </c>
      <c r="CA28" s="5">
        <v>2.58</v>
      </c>
      <c r="CB28" s="5">
        <v>2.66</v>
      </c>
      <c r="CC28" s="5">
        <v>2.58</v>
      </c>
      <c r="CD28" s="5">
        <v>2.58</v>
      </c>
      <c r="CE28" s="5">
        <v>3.33</v>
      </c>
      <c r="CF28" s="5">
        <v>2.58</v>
      </c>
      <c r="CG28" s="5">
        <v>2.58</v>
      </c>
      <c r="CH28" s="5">
        <v>2.58</v>
      </c>
      <c r="CI28" s="66">
        <f>2.74*1.074</f>
        <v>2.9427600000000003</v>
      </c>
      <c r="CJ28" s="5">
        <v>2.58</v>
      </c>
      <c r="CK28" s="5">
        <v>2.58</v>
      </c>
      <c r="CL28" s="5">
        <v>2.58</v>
      </c>
      <c r="CM28" s="54">
        <f>2.73*1.074</f>
        <v>2.9320200000000001</v>
      </c>
      <c r="CN28" s="5">
        <v>2.58</v>
      </c>
      <c r="CO28" s="5">
        <v>3.33</v>
      </c>
      <c r="CP28" s="5">
        <v>3.33</v>
      </c>
      <c r="CQ28" s="5">
        <v>3.33</v>
      </c>
      <c r="CR28" s="5">
        <v>1.79</v>
      </c>
      <c r="CS28" s="5">
        <v>3.33</v>
      </c>
      <c r="CT28" s="5">
        <v>2.58</v>
      </c>
      <c r="CU28" s="5">
        <v>3.33</v>
      </c>
      <c r="CV28" s="5">
        <v>2.58</v>
      </c>
      <c r="CW28" s="5">
        <v>3.33</v>
      </c>
      <c r="CX28" s="54">
        <f>2.73*1.074</f>
        <v>2.9320200000000001</v>
      </c>
      <c r="CY28" s="5">
        <v>2.58</v>
      </c>
      <c r="CZ28" s="54">
        <f>2.73*1.074</f>
        <v>2.9320200000000001</v>
      </c>
      <c r="DA28" s="54">
        <f>2.73*1.074</f>
        <v>2.9320200000000001</v>
      </c>
    </row>
    <row r="29" spans="1:105" x14ac:dyDescent="0.25">
      <c r="A29" s="10" t="s">
        <v>37</v>
      </c>
      <c r="B29" s="7" t="s">
        <v>38</v>
      </c>
      <c r="C29" s="6">
        <v>1.8</v>
      </c>
      <c r="D29" s="50">
        <f>1.93*1.074</f>
        <v>2.0728200000000001</v>
      </c>
      <c r="E29" s="6">
        <v>1.8</v>
      </c>
      <c r="F29" s="6"/>
      <c r="G29" s="6"/>
      <c r="H29" s="6"/>
      <c r="I29" s="6"/>
      <c r="J29" s="6"/>
      <c r="K29" s="6"/>
      <c r="L29" s="6"/>
      <c r="M29" s="6"/>
      <c r="N29" s="6"/>
      <c r="O29" s="6">
        <v>2.17</v>
      </c>
      <c r="P29" s="6">
        <v>2.17</v>
      </c>
      <c r="Q29" s="6"/>
      <c r="R29" s="6"/>
      <c r="S29" s="6"/>
      <c r="T29" s="6">
        <v>1.8</v>
      </c>
      <c r="U29" s="6"/>
      <c r="V29" s="6">
        <v>0.83</v>
      </c>
      <c r="W29" s="88">
        <v>0.82880457400828167</v>
      </c>
      <c r="X29" s="6">
        <v>0.83</v>
      </c>
      <c r="Y29" s="6">
        <v>0.74</v>
      </c>
      <c r="Z29" s="73">
        <v>0.74</v>
      </c>
      <c r="AA29" s="6">
        <v>1.8</v>
      </c>
      <c r="AB29" s="6">
        <v>0.83</v>
      </c>
      <c r="AC29" s="6">
        <v>0.83</v>
      </c>
      <c r="AD29" s="6">
        <v>0.74</v>
      </c>
      <c r="AE29" s="6">
        <v>0.83</v>
      </c>
      <c r="AF29" s="6">
        <v>0.83</v>
      </c>
      <c r="AG29" s="6">
        <v>0.83</v>
      </c>
      <c r="AH29" s="6">
        <v>0.83</v>
      </c>
      <c r="AI29" s="6">
        <v>0.83</v>
      </c>
      <c r="AJ29" s="6">
        <v>1.8</v>
      </c>
      <c r="AK29" s="6">
        <v>0.83</v>
      </c>
      <c r="AL29" s="6">
        <v>1.8</v>
      </c>
      <c r="AM29" s="6">
        <v>0.74</v>
      </c>
      <c r="AN29" s="6">
        <v>0.83</v>
      </c>
      <c r="AO29" s="6">
        <v>0.83</v>
      </c>
      <c r="AP29" s="6"/>
      <c r="AQ29" s="6">
        <v>1.8</v>
      </c>
      <c r="AR29" s="6">
        <v>1.8</v>
      </c>
      <c r="AS29" s="6">
        <v>1.8</v>
      </c>
      <c r="AT29" s="6">
        <v>1.8</v>
      </c>
      <c r="AU29" s="58">
        <f>1.88*1.074</f>
        <v>2.01912</v>
      </c>
      <c r="AV29" s="6">
        <v>1.8</v>
      </c>
      <c r="AW29" s="50">
        <f>2.25*1.074</f>
        <v>2.4165000000000001</v>
      </c>
      <c r="AX29" s="50">
        <f>0.74*0.129+0.74</f>
        <v>0.83545999999999998</v>
      </c>
      <c r="AY29" s="6">
        <v>1.8</v>
      </c>
      <c r="AZ29" s="6">
        <v>1.8</v>
      </c>
      <c r="BA29" s="6">
        <v>1.8</v>
      </c>
      <c r="BB29" s="6">
        <v>1.8</v>
      </c>
      <c r="BC29" s="6"/>
      <c r="BD29" s="6">
        <v>1.8</v>
      </c>
      <c r="BE29" s="6">
        <v>1.8</v>
      </c>
      <c r="BF29" s="6">
        <v>1.8</v>
      </c>
      <c r="BG29" s="6">
        <v>1.8</v>
      </c>
      <c r="BH29" s="6">
        <v>1.8</v>
      </c>
      <c r="BI29" s="58">
        <f>2.74*1.074</f>
        <v>2.9427600000000003</v>
      </c>
      <c r="BJ29" s="58"/>
      <c r="BK29" s="63"/>
      <c r="BL29" s="6"/>
      <c r="BM29" s="6">
        <v>1.8</v>
      </c>
      <c r="BN29" s="6"/>
      <c r="BO29" s="50">
        <f>1.8*1.074</f>
        <v>1.9332000000000003</v>
      </c>
      <c r="BP29" s="58">
        <f>1.92*1.074</f>
        <v>2.0620799999999999</v>
      </c>
      <c r="BQ29" s="58">
        <f>1.92*1.074</f>
        <v>2.0620799999999999</v>
      </c>
      <c r="BR29" s="58">
        <f>1.92*1.074</f>
        <v>2.0620799999999999</v>
      </c>
      <c r="BS29" s="6">
        <v>1.8</v>
      </c>
      <c r="BT29" s="6">
        <v>0.83</v>
      </c>
      <c r="BU29" s="6">
        <v>0.74</v>
      </c>
      <c r="BV29" s="6">
        <v>0.83</v>
      </c>
      <c r="BW29" s="6">
        <v>0.83</v>
      </c>
      <c r="BX29" s="16">
        <f>2.74*1.074</f>
        <v>2.9427600000000003</v>
      </c>
      <c r="BY29" s="6"/>
      <c r="BZ29" s="6">
        <v>0.83</v>
      </c>
      <c r="CA29" s="6">
        <v>1.8</v>
      </c>
      <c r="CB29" s="6">
        <v>0.74</v>
      </c>
      <c r="CC29" s="6">
        <v>1.8</v>
      </c>
      <c r="CD29" s="6">
        <v>1.8</v>
      </c>
      <c r="CE29" s="6">
        <v>0.83</v>
      </c>
      <c r="CF29" s="6">
        <v>1.8</v>
      </c>
      <c r="CG29" s="6">
        <v>1.8</v>
      </c>
      <c r="CH29" s="6">
        <v>1.8</v>
      </c>
      <c r="CI29" s="16">
        <f>2.02*1.074</f>
        <v>2.1694800000000001</v>
      </c>
      <c r="CJ29" s="6">
        <v>1.8</v>
      </c>
      <c r="CK29" s="6">
        <v>1.8</v>
      </c>
      <c r="CL29" s="6">
        <v>1.8</v>
      </c>
      <c r="CM29" s="58">
        <f>1.92*1.074</f>
        <v>2.0620799999999999</v>
      </c>
      <c r="CN29" s="6">
        <v>1.8</v>
      </c>
      <c r="CO29" s="6">
        <v>0.83</v>
      </c>
      <c r="CP29" s="6">
        <v>0.83</v>
      </c>
      <c r="CQ29" s="6">
        <v>0.83</v>
      </c>
      <c r="CR29" s="6"/>
      <c r="CS29" s="6">
        <v>0.83</v>
      </c>
      <c r="CT29" s="6">
        <v>1.8</v>
      </c>
      <c r="CU29" s="6">
        <v>0.83</v>
      </c>
      <c r="CV29" s="6">
        <v>1.8</v>
      </c>
      <c r="CW29" s="6">
        <v>0.83</v>
      </c>
      <c r="CX29" s="58">
        <f>1.92*1.074</f>
        <v>2.0620799999999999</v>
      </c>
      <c r="CY29" s="6">
        <v>1.8</v>
      </c>
      <c r="CZ29" s="58">
        <f>1.92*1.074</f>
        <v>2.0620799999999999</v>
      </c>
      <c r="DA29" s="58">
        <f>1.92*1.074</f>
        <v>2.0620799999999999</v>
      </c>
    </row>
    <row r="30" spans="1:105" x14ac:dyDescent="0.25">
      <c r="A30" s="10" t="s">
        <v>39</v>
      </c>
      <c r="B30" s="7" t="s">
        <v>40</v>
      </c>
      <c r="C30" s="6">
        <v>2.14</v>
      </c>
      <c r="D30" s="50">
        <f>2.31*1.074</f>
        <v>2.4809400000000004</v>
      </c>
      <c r="E30" s="6">
        <v>2.14</v>
      </c>
      <c r="F30" s="6"/>
      <c r="G30" s="6"/>
      <c r="H30" s="6"/>
      <c r="I30" s="6"/>
      <c r="J30" s="6"/>
      <c r="K30" s="6"/>
      <c r="L30" s="6"/>
      <c r="M30" s="6"/>
      <c r="N30" s="6"/>
      <c r="O30" s="50">
        <v>2</v>
      </c>
      <c r="P30" s="50">
        <v>2</v>
      </c>
      <c r="Q30" s="50"/>
      <c r="R30" s="50"/>
      <c r="S30" s="50"/>
      <c r="T30" s="6">
        <v>2.14</v>
      </c>
      <c r="U30" s="50"/>
      <c r="V30" s="6">
        <v>2.1800000000000002</v>
      </c>
      <c r="W30" s="88">
        <v>2.1789868379783663</v>
      </c>
      <c r="X30" s="6">
        <v>2.1800000000000002</v>
      </c>
      <c r="Y30" s="6">
        <v>1.87</v>
      </c>
      <c r="Z30" s="70">
        <v>1.87</v>
      </c>
      <c r="AA30" s="6">
        <v>2.14</v>
      </c>
      <c r="AB30" s="6">
        <v>2.1800000000000002</v>
      </c>
      <c r="AC30" s="6">
        <v>2.1800000000000002</v>
      </c>
      <c r="AD30" s="6">
        <v>1.87</v>
      </c>
      <c r="AE30" s="6">
        <v>2.1800000000000002</v>
      </c>
      <c r="AF30" s="6">
        <v>2.1800000000000002</v>
      </c>
      <c r="AG30" s="6">
        <v>2.1800000000000002</v>
      </c>
      <c r="AH30" s="6">
        <v>2.1800000000000002</v>
      </c>
      <c r="AI30" s="6">
        <v>2.1800000000000002</v>
      </c>
      <c r="AJ30" s="6">
        <v>2.14</v>
      </c>
      <c r="AK30" s="6">
        <v>2.1800000000000002</v>
      </c>
      <c r="AL30" s="6">
        <v>2.14</v>
      </c>
      <c r="AM30" s="6">
        <v>1.87</v>
      </c>
      <c r="AN30" s="6">
        <v>2.1800000000000002</v>
      </c>
      <c r="AO30" s="6">
        <v>2.1800000000000002</v>
      </c>
      <c r="AP30" s="6"/>
      <c r="AQ30" s="6">
        <v>2.14</v>
      </c>
      <c r="AR30" s="6">
        <v>2.14</v>
      </c>
      <c r="AS30" s="6">
        <v>2.14</v>
      </c>
      <c r="AT30" s="6">
        <v>2.14</v>
      </c>
      <c r="AU30" s="58">
        <f>2.24*1.074</f>
        <v>2.4057600000000003</v>
      </c>
      <c r="AV30" s="6">
        <v>2.14</v>
      </c>
      <c r="AW30" s="63"/>
      <c r="AX30" s="16">
        <f>1.87*0.129+1.87</f>
        <v>2.1112299999999999</v>
      </c>
      <c r="AY30" s="6">
        <v>2.14</v>
      </c>
      <c r="AZ30" s="6">
        <v>2.14</v>
      </c>
      <c r="BA30" s="6">
        <v>2.14</v>
      </c>
      <c r="BB30" s="6">
        <v>2.14</v>
      </c>
      <c r="BC30" s="6"/>
      <c r="BD30" s="6">
        <v>2.14</v>
      </c>
      <c r="BE30" s="6">
        <v>2.14</v>
      </c>
      <c r="BF30" s="6">
        <v>2.14</v>
      </c>
      <c r="BG30" s="6">
        <v>2.14</v>
      </c>
      <c r="BH30" s="6">
        <v>2.14</v>
      </c>
      <c r="BI30" s="6"/>
      <c r="BJ30" s="58">
        <f>2.25*1.074</f>
        <v>2.4165000000000001</v>
      </c>
      <c r="BK30" s="63"/>
      <c r="BL30" s="6"/>
      <c r="BM30" s="6">
        <v>2.14</v>
      </c>
      <c r="BN30" s="6"/>
      <c r="BO30" s="50">
        <f>2.1*1.074</f>
        <v>2.2554000000000003</v>
      </c>
      <c r="BP30" s="58">
        <f>2.26*1.074</f>
        <v>2.4272399999999998</v>
      </c>
      <c r="BQ30" s="58">
        <f>2.26*1.074</f>
        <v>2.4272399999999998</v>
      </c>
      <c r="BR30" s="58">
        <f>2.26*1.074</f>
        <v>2.4272399999999998</v>
      </c>
      <c r="BS30" s="6">
        <v>2.14</v>
      </c>
      <c r="BT30" s="6">
        <v>2.1800000000000002</v>
      </c>
      <c r="BU30" s="6">
        <v>1.87</v>
      </c>
      <c r="BV30" s="6">
        <v>2.1800000000000002</v>
      </c>
      <c r="BW30" s="6">
        <v>2.1800000000000002</v>
      </c>
      <c r="BX30" s="50">
        <f>1.98*1.074</f>
        <v>2.1265200000000002</v>
      </c>
      <c r="BY30" s="50"/>
      <c r="BZ30" s="6">
        <v>2.1800000000000002</v>
      </c>
      <c r="CA30" s="6">
        <v>2.14</v>
      </c>
      <c r="CB30" s="6">
        <v>1.87</v>
      </c>
      <c r="CC30" s="6">
        <v>2.14</v>
      </c>
      <c r="CD30" s="6">
        <v>2.14</v>
      </c>
      <c r="CE30" s="6">
        <v>2.1800000000000002</v>
      </c>
      <c r="CF30" s="6">
        <v>2.14</v>
      </c>
      <c r="CG30" s="6">
        <v>2.14</v>
      </c>
      <c r="CH30" s="6">
        <v>2.14</v>
      </c>
      <c r="CI30" s="63"/>
      <c r="CJ30" s="6">
        <v>2.14</v>
      </c>
      <c r="CK30" s="6">
        <v>2.14</v>
      </c>
      <c r="CL30" s="6">
        <v>2.14</v>
      </c>
      <c r="CM30" s="58">
        <f>2.26*1.074</f>
        <v>2.4272399999999998</v>
      </c>
      <c r="CN30" s="6">
        <v>2.14</v>
      </c>
      <c r="CO30" s="6">
        <v>2.1800000000000002</v>
      </c>
      <c r="CP30" s="6">
        <v>2.1800000000000002</v>
      </c>
      <c r="CQ30" s="6">
        <v>2.1800000000000002</v>
      </c>
      <c r="CR30" s="6"/>
      <c r="CS30" s="6">
        <v>2.1800000000000002</v>
      </c>
      <c r="CT30" s="6">
        <v>2.14</v>
      </c>
      <c r="CU30" s="6">
        <v>2.1800000000000002</v>
      </c>
      <c r="CV30" s="6">
        <v>2.14</v>
      </c>
      <c r="CW30" s="6">
        <v>2.1800000000000002</v>
      </c>
      <c r="CX30" s="58">
        <f>2.26*1.074</f>
        <v>2.4272399999999998</v>
      </c>
      <c r="CY30" s="6">
        <v>2.14</v>
      </c>
      <c r="CZ30" s="58">
        <f>2.26*1.074</f>
        <v>2.4272399999999998</v>
      </c>
      <c r="DA30" s="58">
        <f>2.26*1.074</f>
        <v>2.4272399999999998</v>
      </c>
    </row>
    <row r="31" spans="1:105" x14ac:dyDescent="0.25">
      <c r="A31" s="81" t="s">
        <v>50</v>
      </c>
      <c r="B31" s="78" t="s">
        <v>36</v>
      </c>
      <c r="C31" s="77"/>
      <c r="D31" s="77"/>
      <c r="E31" s="77"/>
      <c r="F31" s="76">
        <v>21.81</v>
      </c>
      <c r="G31" s="76">
        <v>21.81</v>
      </c>
      <c r="H31" s="76">
        <v>21.81</v>
      </c>
      <c r="I31" s="76">
        <v>21.81</v>
      </c>
      <c r="J31" s="76">
        <v>21.81</v>
      </c>
      <c r="K31" s="76">
        <v>21.81</v>
      </c>
      <c r="L31" s="76">
        <v>21.81</v>
      </c>
      <c r="M31" s="76">
        <v>21.81</v>
      </c>
      <c r="N31" s="76">
        <v>21.81</v>
      </c>
      <c r="O31" s="80">
        <v>2.5775999999999999</v>
      </c>
      <c r="P31" s="80">
        <v>8.903459999999999</v>
      </c>
      <c r="Q31" s="80"/>
      <c r="R31" s="80">
        <v>2.4</v>
      </c>
      <c r="S31" s="80">
        <v>21.97</v>
      </c>
      <c r="T31" s="77"/>
      <c r="U31" s="80">
        <v>21.97</v>
      </c>
      <c r="V31" s="77"/>
      <c r="W31" s="77"/>
      <c r="X31" s="77"/>
      <c r="Y31" s="9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98"/>
      <c r="BK31" s="63"/>
      <c r="BL31" s="77"/>
      <c r="BM31" s="77"/>
      <c r="BN31" s="77"/>
      <c r="BO31" s="77"/>
      <c r="BP31" s="63"/>
      <c r="BQ31" s="63"/>
      <c r="BR31" s="63"/>
      <c r="BS31" s="77"/>
      <c r="BT31" s="77"/>
      <c r="BU31" s="77"/>
      <c r="BV31" s="77"/>
      <c r="BW31" s="77"/>
      <c r="BX31" s="50">
        <f>2.14*1.074</f>
        <v>2.2983600000000002</v>
      </c>
      <c r="BY31" s="80"/>
      <c r="BZ31" s="77"/>
      <c r="CA31" s="77"/>
      <c r="CB31" s="77"/>
      <c r="CC31" s="77"/>
      <c r="CD31" s="77"/>
      <c r="CE31" s="77"/>
      <c r="CF31" s="77"/>
      <c r="CG31" s="77"/>
      <c r="CH31" s="77"/>
      <c r="CI31" s="63"/>
      <c r="CJ31" s="77"/>
      <c r="CK31" s="77"/>
      <c r="CL31" s="77"/>
      <c r="CM31" s="63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63"/>
      <c r="CY31" s="77"/>
      <c r="CZ31" s="63"/>
      <c r="DA31" s="63"/>
    </row>
    <row r="32" spans="1:105" x14ac:dyDescent="0.25">
      <c r="A32" s="10" t="s">
        <v>203</v>
      </c>
      <c r="B32" s="7" t="s">
        <v>204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5">
        <v>0.67</v>
      </c>
      <c r="Z32" s="63"/>
      <c r="AA32" s="63"/>
      <c r="AB32" s="63"/>
      <c r="AC32" s="63"/>
      <c r="AD32" s="6">
        <v>0.69</v>
      </c>
      <c r="AE32" s="63"/>
      <c r="AF32" s="63"/>
      <c r="AG32" s="63"/>
      <c r="AH32" s="63"/>
      <c r="AI32" s="63"/>
      <c r="AJ32" s="63"/>
      <c r="AK32" s="6">
        <v>0.52</v>
      </c>
      <c r="AL32" s="63"/>
      <c r="AM32" s="6">
        <v>0.35</v>
      </c>
      <c r="AN32" s="63"/>
      <c r="AO32" s="6">
        <v>0.55000000000000004</v>
      </c>
      <c r="AP32" s="6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"/>
      <c r="BD32" s="63"/>
      <c r="BE32" s="63"/>
      <c r="BF32" s="63"/>
      <c r="BG32" s="63"/>
      <c r="BH32" s="63"/>
      <c r="BI32" s="63"/>
      <c r="BJ32" s="98"/>
      <c r="BK32" s="63"/>
      <c r="BL32" s="6"/>
      <c r="BM32" s="63"/>
      <c r="BN32" s="6"/>
      <c r="BO32" s="63"/>
      <c r="BP32" s="63"/>
      <c r="BQ32" s="63"/>
      <c r="BR32" s="63"/>
      <c r="BS32" s="63"/>
      <c r="BT32" s="63"/>
      <c r="BU32" s="6"/>
      <c r="BV32" s="6">
        <v>0.44</v>
      </c>
      <c r="BW32" s="63"/>
      <c r="BX32" s="63"/>
      <c r="BY32" s="63"/>
      <c r="BZ32" s="6">
        <v>0.51</v>
      </c>
      <c r="CA32" s="63"/>
      <c r="CB32" s="6"/>
      <c r="CC32" s="63"/>
      <c r="CD32" s="63"/>
      <c r="CE32" s="6"/>
      <c r="CF32" s="63"/>
      <c r="CG32" s="63"/>
      <c r="CH32" s="63"/>
      <c r="CI32" s="63"/>
      <c r="CJ32" s="63"/>
      <c r="CK32" s="63"/>
      <c r="CL32" s="63"/>
      <c r="CM32" s="63"/>
      <c r="CN32" s="63"/>
      <c r="CO32" s="6"/>
      <c r="CP32" s="6"/>
      <c r="CQ32" s="6">
        <v>0.47</v>
      </c>
      <c r="CR32" s="6"/>
      <c r="CS32" s="6"/>
      <c r="CT32" s="63"/>
      <c r="CU32" s="6">
        <v>0.54</v>
      </c>
      <c r="CV32" s="63"/>
      <c r="CW32" s="6"/>
      <c r="CX32" s="63"/>
      <c r="CY32" s="63"/>
      <c r="CZ32" s="63"/>
      <c r="DA32" s="63"/>
    </row>
    <row r="33" spans="1:105" x14ac:dyDescent="0.25">
      <c r="A33" s="10" t="s">
        <v>206</v>
      </c>
      <c r="B33" s="7" t="s">
        <v>207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58">
        <f>8.47*1.074</f>
        <v>9.0967800000000008</v>
      </c>
      <c r="BK33" s="58">
        <v>4.88</v>
      </c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</row>
    <row r="34" spans="1:105" x14ac:dyDescent="0.25">
      <c r="A34" s="10" t="s">
        <v>208</v>
      </c>
      <c r="B34" s="7" t="s">
        <v>209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58">
        <v>4.2699999999999996</v>
      </c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</row>
    <row r="35" spans="1:105" x14ac:dyDescent="0.25">
      <c r="A35" s="10" t="s">
        <v>212</v>
      </c>
      <c r="B35" s="7" t="s">
        <v>210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58">
        <v>0.53</v>
      </c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</row>
    <row r="36" spans="1:105" x14ac:dyDescent="0.25">
      <c r="N36" s="104" t="s">
        <v>214</v>
      </c>
      <c r="O36" s="105">
        <f>O6-O31-O24</f>
        <v>13.93</v>
      </c>
      <c r="P36">
        <f>O36*1.18</f>
        <v>16.4374</v>
      </c>
    </row>
    <row r="37" spans="1:105" x14ac:dyDescent="0.25">
      <c r="O37" s="52">
        <f>O6-O24</f>
        <v>16.5076</v>
      </c>
      <c r="P37" s="52">
        <f>P6-P24</f>
        <v>22.623459999999998</v>
      </c>
    </row>
    <row r="38" spans="1:105" x14ac:dyDescent="0.25">
      <c r="O38" s="52">
        <f>O37*1.18</f>
        <v>19.478967999999998</v>
      </c>
      <c r="P38" s="52">
        <f>P37*1.18</f>
        <v>26.695682799999997</v>
      </c>
    </row>
  </sheetData>
  <mergeCells count="2">
    <mergeCell ref="A1:C1"/>
    <mergeCell ref="A2:A3"/>
  </mergeCells>
  <pageMargins left="0.31496062992125984" right="0.31496062992125984" top="0.74803149606299213" bottom="0.74803149606299213" header="0.31496062992125984" footer="0.31496062992125984"/>
  <pageSetup paperSize="8" scale="82" fitToWidth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Лист3</vt:lpstr>
      <vt:lpstr>Лист7</vt:lpstr>
      <vt:lpstr>Общий 01.01.2017</vt:lpstr>
      <vt:lpstr>Лист3!Область_печати</vt:lpstr>
      <vt:lpstr>'Общий 01.01.2017'!Область_печати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В. Сотникова</dc:creator>
  <cp:lastModifiedBy>Екатерина А. Овечкина</cp:lastModifiedBy>
  <cp:lastPrinted>2017-04-04T04:57:44Z</cp:lastPrinted>
  <dcterms:created xsi:type="dcterms:W3CDTF">2015-09-02T06:19:05Z</dcterms:created>
  <dcterms:modified xsi:type="dcterms:W3CDTF">2017-04-04T05:27:43Z</dcterms:modified>
</cp:coreProperties>
</file>